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D:\2020\信息发布\930服贸资金审核公示\"/>
    </mc:Choice>
  </mc:AlternateContent>
  <bookViews>
    <workbookView xWindow="-15" yWindow="-15" windowWidth="11235" windowHeight="7155" firstSheet="45" activeTab="45"/>
  </bookViews>
  <sheets>
    <sheet name="修改后的服务外包表" sheetId="24" state="hidden" r:id="rId1"/>
    <sheet name="1.提升公共服务能力" sheetId="2" state="hidden" r:id="rId2"/>
    <sheet name="2.重点服务进口" sheetId="3" state="hidden" r:id="rId3"/>
    <sheet name="3.承接国际服务外包业务（服务外包培训机构）" sheetId="4" state="hidden" r:id="rId4"/>
    <sheet name="4.承接国际服务外包业务（服务外包企业）" sheetId="1" state="hidden" r:id="rId5"/>
    <sheet name="5.技术出口业务" sheetId="5" state="hidden" r:id="rId6"/>
    <sheet name="烟台中集来福士海洋工程有限公司" sheetId="6" state="hidden" r:id="rId7"/>
    <sheet name="烟台创迹软件有限公司" sheetId="7" state="hidden" r:id="rId8"/>
    <sheet name="阳谷祥光铜业有限公司" sheetId="8" state="hidden" r:id="rId9"/>
    <sheet name="山东泰开电力建设工程有限公司" sheetId="10" state="hidden" r:id="rId10"/>
    <sheet name="山东元星电子有限公司" sheetId="11" state="hidden" r:id="rId11"/>
    <sheet name="山东宝迪朗格健 身器材有限公司" sheetId="12" state="hidden" r:id="rId12"/>
    <sheet name="山东宏瀚国际贸易有限公司" sheetId="13" state="hidden" r:id="rId13"/>
    <sheet name="淄博海创国际贸易有限公司" sheetId="14" state="hidden" r:id="rId14"/>
    <sheet name="山东丽能电力技术股份有限公司" sheetId="15" state="hidden" r:id="rId15"/>
    <sheet name="山东齐芯微系统科技股份有限公司" sheetId="16" state="hidden" r:id="rId16"/>
    <sheet name="山东泰展机电科技股份有限公司" sheetId="20" state="hidden" r:id="rId17"/>
    <sheet name="淄博锦轩轻工制品有限公司" sheetId="17" state="hidden" r:id="rId18"/>
    <sheet name="山东卓创资讯股份有限公司" sheetId="18" state="hidden" r:id="rId19"/>
    <sheet name="瑞阳制药有限公司" sheetId="19" state="hidden" r:id="rId20"/>
    <sheet name="淄博银仕来纺织有限公司" sheetId="21" state="hidden" r:id="rId21"/>
    <sheet name="淄博美林电子有限公司" sheetId="22" state="hidden" r:id="rId22"/>
    <sheet name="山东瑞丰高分子材料股份有限公司" sheetId="23" state="hidden" r:id="rId23"/>
    <sheet name="诺贝尔（山东）科技实业有限公司" sheetId="25" state="hidden" r:id="rId24"/>
    <sheet name="山东威达机械股份有限公司" sheetId="26" state="hidden" r:id="rId25"/>
    <sheet name="山东金池重工股份有限公司" sheetId="27" state="hidden" r:id="rId26"/>
    <sheet name="济南河流道网络科技有限公司" sheetId="28" state="hidden" r:id="rId27"/>
    <sheet name="亿帆环球科技（济南）有限公司 " sheetId="29" state="hidden" r:id="rId28"/>
    <sheet name="济南森峰科技有限公司" sheetId="30" state="hidden" r:id="rId29"/>
    <sheet name="山东省冶金设计院股份有限公司" sheetId="31" state="hidden" r:id="rId30"/>
    <sheet name="山东力诺光伏高科技有限公司" sheetId="32" state="hidden" r:id="rId31"/>
    <sheet name="山东省永信非织造材料有限公司" sheetId="33" state="hidden" r:id="rId32"/>
    <sheet name="东方电子" sheetId="34" state="hidden" r:id="rId33"/>
    <sheet name="济南大宇宙" sheetId="35" state="hidden" r:id="rId34"/>
    <sheet name="浪潮世通" sheetId="36" state="hidden" r:id="rId35"/>
    <sheet name="威海伯特利克迪" sheetId="38" state="hidden" r:id="rId36"/>
    <sheet name="华民钢球" sheetId="39" state="hidden" r:id="rId37"/>
    <sheet name="大世汽车" sheetId="41" state="hidden" r:id="rId38"/>
    <sheet name="日月光" sheetId="42" state="hidden" r:id="rId39"/>
    <sheet name="日月光（初始版文件）" sheetId="44" state="hidden" r:id="rId40"/>
    <sheet name="东方电子培训费" sheetId="43" state="hidden" r:id="rId41"/>
    <sheet name="中车" sheetId="47" state="hidden" r:id="rId42"/>
    <sheet name="鑫弘" sheetId="48" state="hidden" r:id="rId43"/>
    <sheet name="汇总表(电建错误版)" sheetId="57" state="hidden" r:id="rId44"/>
    <sheet name="Sheet1" sheetId="58" state="hidden" r:id="rId45"/>
    <sheet name="汇总" sheetId="59" r:id="rId46"/>
  </sheets>
  <externalReferences>
    <externalReference r:id="rId47"/>
  </externalReferences>
  <definedNames>
    <definedName name="_xlnm._FilterDatabase" localSheetId="4" hidden="1">'4.承接国际服务外包业务（服务外包企业）'!$A$6:$AQ$34</definedName>
    <definedName name="_xlnm._FilterDatabase" localSheetId="5" hidden="1">'5.技术出口业务'!$A$4:$Z$16</definedName>
    <definedName name="_xlnm._FilterDatabase" localSheetId="44" hidden="1">Sheet1!$A$2:$F$182</definedName>
    <definedName name="_xlnm._FilterDatabase" localSheetId="32" hidden="1">东方电子!$A$2:$L$104</definedName>
    <definedName name="_xlnm._FilterDatabase" localSheetId="43" hidden="1">'汇总表(电建错误版)'!$A$1:$H$181</definedName>
    <definedName name="_xlnm._FilterDatabase" localSheetId="39" hidden="1">'日月光（初始版文件）'!$A$2:$G$462</definedName>
    <definedName name="_xlnm._FilterDatabase" localSheetId="12" hidden="1">山东宏瀚国际贸易有限公司!$A$1:$F$122</definedName>
    <definedName name="_xlnm._FilterDatabase" localSheetId="30" hidden="1">山东力诺光伏高科技有限公司!$A$1:$L$113</definedName>
    <definedName name="_xlnm._FilterDatabase" localSheetId="16" hidden="1">山东泰展机电科技股份有限公司!$A$1:$G$45</definedName>
    <definedName name="_xlnm._FilterDatabase" localSheetId="24" hidden="1">山东威达机械股份有限公司!$A$1:$L$124</definedName>
    <definedName name="_xlnm._FilterDatabase" localSheetId="0" hidden="1">修改后的服务外包表!$A$1:$AW$185</definedName>
    <definedName name="_xlnm._FilterDatabase" hidden="1">烟台创迹软件有限公司!$A$4:$AD$35</definedName>
  </definedNames>
  <calcPr calcId="152511"/>
</workbook>
</file>

<file path=xl/calcChain.xml><?xml version="1.0" encoding="utf-8"?>
<calcChain xmlns="http://schemas.openxmlformats.org/spreadsheetml/2006/main">
  <c r="H181" i="57" l="1"/>
  <c r="F181" i="57"/>
  <c r="E181" i="57"/>
  <c r="G181" i="57"/>
  <c r="I15" i="22" l="1"/>
  <c r="K15" i="22"/>
  <c r="K14" i="22"/>
  <c r="I12" i="48" l="1"/>
  <c r="I13" i="48" s="1"/>
  <c r="F12" i="47" l="1"/>
  <c r="F13" i="47" s="1"/>
  <c r="G23" i="39" l="1"/>
  <c r="J35" i="39"/>
  <c r="J36" i="39" s="1"/>
  <c r="J38" i="39" s="1"/>
  <c r="E111" i="34" l="1"/>
  <c r="AF17" i="24" l="1"/>
  <c r="AR67" i="24" l="1"/>
  <c r="AN175" i="24" l="1"/>
  <c r="AN23" i="24"/>
  <c r="AN22" i="24"/>
  <c r="AN16" i="24"/>
  <c r="AN15" i="24"/>
  <c r="AJ15" i="24"/>
  <c r="AM178" i="24" l="1"/>
  <c r="AL178" i="24"/>
  <c r="AL176" i="24"/>
  <c r="F3" i="44"/>
  <c r="J17" i="44"/>
  <c r="J22" i="44"/>
  <c r="J28" i="44"/>
  <c r="F44" i="44"/>
  <c r="F87" i="44"/>
  <c r="F124" i="44"/>
  <c r="F168" i="44"/>
  <c r="F190" i="44"/>
  <c r="D231" i="44"/>
  <c r="G231" i="44"/>
  <c r="F232" i="44"/>
  <c r="F257" i="44"/>
  <c r="F310" i="44"/>
  <c r="F339" i="44"/>
  <c r="F381" i="44"/>
  <c r="F421" i="44"/>
  <c r="D460" i="44"/>
  <c r="G460" i="44"/>
  <c r="F462" i="44"/>
  <c r="D463" i="44"/>
  <c r="D464" i="44" s="1"/>
  <c r="D465" i="44" s="1"/>
  <c r="G463" i="44"/>
  <c r="G464" i="44" s="1"/>
  <c r="AT30" i="24"/>
  <c r="F18" i="42" l="1"/>
  <c r="F19" i="42" s="1"/>
  <c r="AH103" i="24" l="1"/>
  <c r="AL64" i="24" l="1"/>
  <c r="AM64" i="24" s="1"/>
  <c r="AJ149" i="24" l="1"/>
  <c r="AJ95" i="24"/>
  <c r="AM95" i="24" s="1"/>
  <c r="H9" i="41"/>
  <c r="H10" i="41" s="1"/>
  <c r="AN172" i="24" l="1"/>
  <c r="AN173" i="24"/>
  <c r="AN174" i="24"/>
  <c r="AN171" i="24"/>
  <c r="I7" i="38" l="1"/>
  <c r="AH106" i="24" l="1"/>
  <c r="AJ163" i="24" l="1"/>
  <c r="AJ117" i="24" l="1"/>
  <c r="AM117" i="24" s="1"/>
  <c r="AR178" i="24" l="1"/>
  <c r="AS178" i="24" s="1"/>
  <c r="AH2" i="24"/>
  <c r="AR2" i="24" s="1"/>
  <c r="AS2" i="24" s="1"/>
  <c r="AR128" i="24"/>
  <c r="AS128" i="24" s="1"/>
  <c r="AR79" i="24"/>
  <c r="AS79" i="24" s="1"/>
  <c r="AR25" i="24"/>
  <c r="AS25" i="24" s="1"/>
  <c r="AH119" i="24"/>
  <c r="AH45" i="24"/>
  <c r="AR45" i="24" s="1"/>
  <c r="AS45" i="24" s="1"/>
  <c r="AQ168" i="24"/>
  <c r="AQ163" i="24"/>
  <c r="AR163" i="24" s="1"/>
  <c r="AS163" i="24" s="1"/>
  <c r="AQ162" i="24"/>
  <c r="AR162" i="24" s="1"/>
  <c r="AS162" i="24" s="1"/>
  <c r="AQ148" i="24"/>
  <c r="AR148" i="24" s="1"/>
  <c r="AS148" i="24" s="1"/>
  <c r="AQ136" i="24"/>
  <c r="AR136" i="24" s="1"/>
  <c r="AS136" i="24" s="1"/>
  <c r="AQ133" i="24"/>
  <c r="AQ123" i="24"/>
  <c r="AQ121" i="24"/>
  <c r="AQ119" i="24"/>
  <c r="AQ117" i="24"/>
  <c r="AQ116" i="24"/>
  <c r="AR116" i="24" s="1"/>
  <c r="AS116" i="24" s="1"/>
  <c r="AQ108" i="24"/>
  <c r="AQ104" i="24"/>
  <c r="AQ84" i="24"/>
  <c r="AQ78" i="24"/>
  <c r="AQ71" i="24"/>
  <c r="AR71" i="24" s="1"/>
  <c r="AS71" i="24" s="1"/>
  <c r="AQ53" i="24"/>
  <c r="AQ44" i="24"/>
  <c r="AQ42" i="24"/>
  <c r="AQ33" i="24"/>
  <c r="AR33" i="24" s="1"/>
  <c r="AS33" i="24" s="1"/>
  <c r="AQ27" i="24"/>
  <c r="AR27" i="24" s="1"/>
  <c r="AS27" i="24" s="1"/>
  <c r="AQ20" i="24"/>
  <c r="AR20" i="24" s="1"/>
  <c r="AS20" i="24" s="1"/>
  <c r="AR124" i="24"/>
  <c r="AS124" i="24" s="1"/>
  <c r="AR30" i="24"/>
  <c r="AS30" i="24" s="1"/>
  <c r="AR164" i="24"/>
  <c r="AS164" i="24" s="1"/>
  <c r="AQ159" i="24"/>
  <c r="AQ143" i="24"/>
  <c r="AR143" i="24" s="1"/>
  <c r="AS143" i="24" s="1"/>
  <c r="AR141" i="24"/>
  <c r="AS141" i="24" s="1"/>
  <c r="AQ137" i="24"/>
  <c r="AR137" i="24" s="1"/>
  <c r="AS137" i="24" s="1"/>
  <c r="AQ110" i="24"/>
  <c r="AQ106" i="24"/>
  <c r="AR106" i="24" s="1"/>
  <c r="AS106" i="24" s="1"/>
  <c r="AQ97" i="24"/>
  <c r="AR97" i="24" s="1"/>
  <c r="AS97" i="24" s="1"/>
  <c r="AQ90" i="24"/>
  <c r="AR90" i="24" s="1"/>
  <c r="AS90" i="24" s="1"/>
  <c r="AQ88" i="24"/>
  <c r="AR88" i="24" s="1"/>
  <c r="AS88" i="24" s="1"/>
  <c r="AQ72" i="24"/>
  <c r="AR72" i="24" s="1"/>
  <c r="AS72" i="24" s="1"/>
  <c r="AQ64" i="24"/>
  <c r="AQ50" i="24"/>
  <c r="AR50" i="24" s="1"/>
  <c r="AS50" i="24" s="1"/>
  <c r="AR49" i="24"/>
  <c r="AQ48" i="24"/>
  <c r="AR48" i="24" s="1"/>
  <c r="AS48" i="24" s="1"/>
  <c r="AQ35" i="24"/>
  <c r="AR35" i="24" s="1"/>
  <c r="AQ29" i="24"/>
  <c r="AR29" i="24" s="1"/>
  <c r="AS29" i="24" s="1"/>
  <c r="AN49" i="24"/>
  <c r="AS49" i="24" l="1"/>
  <c r="AR117" i="24"/>
  <c r="AS117" i="24" s="1"/>
  <c r="AR119" i="24"/>
  <c r="AS119" i="24" s="1"/>
  <c r="AH6" i="24" l="1"/>
  <c r="AH135" i="24" l="1"/>
  <c r="AR135" i="24" s="1"/>
  <c r="AR103" i="24"/>
  <c r="AR6" i="24"/>
  <c r="AH120" i="24"/>
  <c r="AR120" i="24" s="1"/>
  <c r="AH100" i="24"/>
  <c r="AJ100" i="24" s="1"/>
  <c r="AH87" i="24"/>
  <c r="AR87" i="24" s="1"/>
  <c r="AH86" i="24"/>
  <c r="AR86" i="24" s="1"/>
  <c r="AR130" i="24"/>
  <c r="AR95" i="24"/>
  <c r="AR60" i="24"/>
  <c r="AR57" i="24"/>
  <c r="AR31" i="24"/>
  <c r="AJ70" i="24"/>
  <c r="AH70" i="24"/>
  <c r="AR70" i="24" s="1"/>
  <c r="AQ59" i="24"/>
  <c r="AR59" i="24" s="1"/>
  <c r="AQ167" i="24"/>
  <c r="AR167" i="24" s="1"/>
  <c r="AQ166" i="24"/>
  <c r="AR166" i="24" s="1"/>
  <c r="AQ157" i="24"/>
  <c r="AR157" i="24" s="1"/>
  <c r="AQ156" i="24"/>
  <c r="AR156" i="24" s="1"/>
  <c r="AQ151" i="24"/>
  <c r="AR151" i="24" s="1"/>
  <c r="AQ150" i="24"/>
  <c r="AR150" i="24" s="1"/>
  <c r="AQ149" i="24"/>
  <c r="AR149" i="24" s="1"/>
  <c r="AQ138" i="24"/>
  <c r="AR138" i="24" s="1"/>
  <c r="AQ134" i="24"/>
  <c r="AR134" i="24" s="1"/>
  <c r="AQ115" i="24"/>
  <c r="AQ113" i="24"/>
  <c r="AQ76" i="24"/>
  <c r="AQ54" i="24"/>
  <c r="AR54" i="24" s="1"/>
  <c r="AQ52" i="24"/>
  <c r="AQ46" i="24"/>
  <c r="AR46" i="24" s="1"/>
  <c r="AS46" i="24" s="1"/>
  <c r="AQ36" i="24"/>
  <c r="AR36" i="24" s="1"/>
  <c r="AS36" i="24" s="1"/>
  <c r="AQ28" i="24"/>
  <c r="AR28" i="24" s="1"/>
  <c r="AS28" i="24" s="1"/>
  <c r="AQ19" i="24"/>
  <c r="AQ9" i="24"/>
  <c r="AL57" i="24"/>
  <c r="AL55" i="24"/>
  <c r="AL54" i="24"/>
  <c r="AL52" i="24"/>
  <c r="AL46" i="24"/>
  <c r="AL36" i="24"/>
  <c r="AL31" i="24"/>
  <c r="AM31" i="24" s="1"/>
  <c r="AL28" i="24"/>
  <c r="AL26" i="24"/>
  <c r="AL19" i="24"/>
  <c r="AL9" i="24"/>
  <c r="AL6" i="24"/>
  <c r="AR100" i="24" l="1"/>
  <c r="AS100" i="24" s="1"/>
  <c r="AS54" i="24"/>
  <c r="AS156" i="24"/>
  <c r="AS149" i="24"/>
  <c r="AS135" i="24"/>
  <c r="AS103" i="24"/>
  <c r="AS95" i="24"/>
  <c r="AS87" i="24"/>
  <c r="AS86" i="24"/>
  <c r="AS70" i="24"/>
  <c r="AO151" i="24" l="1"/>
  <c r="AP151" i="24" s="1"/>
  <c r="AO150" i="24"/>
  <c r="AP150" i="24" s="1"/>
  <c r="AO135" i="24"/>
  <c r="AP135" i="24" s="1"/>
  <c r="AO115" i="24"/>
  <c r="AP115" i="24" s="1"/>
  <c r="AO103" i="24"/>
  <c r="AP103" i="24" s="1"/>
  <c r="AO100" i="24"/>
  <c r="AP100" i="24" s="1"/>
  <c r="AO95" i="24"/>
  <c r="AP95" i="24" s="1"/>
  <c r="AO87" i="24"/>
  <c r="AP87" i="24" s="1"/>
  <c r="AO86" i="24"/>
  <c r="AP86" i="24" s="1"/>
  <c r="AO76" i="24"/>
  <c r="AP76" i="24" s="1"/>
  <c r="AO73" i="24"/>
  <c r="AP73" i="24" s="1"/>
  <c r="AO70" i="24"/>
  <c r="AP70" i="24" s="1"/>
  <c r="AO60" i="24"/>
  <c r="AP60" i="24" s="1"/>
  <c r="AO57" i="24"/>
  <c r="AP57" i="24" s="1"/>
  <c r="AO55" i="24"/>
  <c r="AP55" i="24" s="1"/>
  <c r="AO54" i="24"/>
  <c r="AP54" i="24" s="1"/>
  <c r="AO52" i="24"/>
  <c r="AP52" i="24" s="1"/>
  <c r="AO46" i="24"/>
  <c r="AP46" i="24" s="1"/>
  <c r="AO28" i="24"/>
  <c r="AP28" i="24" s="1"/>
  <c r="AO19" i="24"/>
  <c r="AP19" i="24" s="1"/>
  <c r="AO9" i="24"/>
  <c r="AP9" i="24" s="1"/>
  <c r="AO6" i="24"/>
  <c r="AN120" i="24"/>
  <c r="AN109" i="24"/>
  <c r="AN31" i="24"/>
  <c r="AN26" i="24"/>
  <c r="AN186" i="24" l="1"/>
  <c r="AH26" i="24"/>
  <c r="AR26" i="24" s="1"/>
  <c r="AS26" i="24" s="1"/>
  <c r="AO31" i="24"/>
  <c r="AP31" i="24" s="1"/>
  <c r="AO26" i="24"/>
  <c r="AP26" i="24" s="1"/>
  <c r="AO109" i="24"/>
  <c r="AP109" i="24" s="1"/>
  <c r="AO120" i="24"/>
  <c r="AP120" i="24" s="1"/>
  <c r="S17" i="5"/>
  <c r="AH185" i="24" l="1"/>
  <c r="AM137" i="24" l="1"/>
  <c r="AM97" i="24" l="1"/>
  <c r="AD185" i="24" l="1"/>
  <c r="AL191" i="24"/>
  <c r="AJ189" i="24"/>
  <c r="AI189" i="24"/>
  <c r="AJ48" i="24"/>
  <c r="AG192" i="24"/>
  <c r="AJ137" i="24"/>
  <c r="AF192" i="24"/>
  <c r="AF155" i="24" l="1"/>
  <c r="AJ116" i="24" l="1"/>
  <c r="AM116" i="24" s="1"/>
  <c r="AJ88" i="24" l="1"/>
  <c r="G34" i="39" l="1"/>
  <c r="AJ164" i="24" l="1"/>
  <c r="AM164" i="24" s="1"/>
  <c r="AM163" i="24"/>
  <c r="AJ157" i="24"/>
  <c r="AM156" i="24"/>
  <c r="AO156" i="24" s="1"/>
  <c r="AP156" i="24" s="1"/>
  <c r="AM149" i="24"/>
  <c r="AO149" i="24" s="1"/>
  <c r="AP149" i="24" s="1"/>
  <c r="AM148" i="24"/>
  <c r="AJ142" i="24"/>
  <c r="AJ143" i="24"/>
  <c r="AJ141" i="24"/>
  <c r="AM157" i="24" l="1"/>
  <c r="AO157" i="24" s="1"/>
  <c r="AP157" i="24" s="1"/>
  <c r="AS157" i="24"/>
  <c r="AJ136" i="24"/>
  <c r="AM136" i="24" s="1"/>
  <c r="AF122" i="24"/>
  <c r="AD113" i="24"/>
  <c r="AD104" i="24"/>
  <c r="AH104" i="24" s="1"/>
  <c r="AJ104" i="24" l="1"/>
  <c r="AR104" i="24"/>
  <c r="AS104" i="24" s="1"/>
  <c r="H7" i="38"/>
  <c r="H8" i="38" s="1"/>
  <c r="AH115" i="24" l="1"/>
  <c r="AJ115" i="24" l="1"/>
  <c r="AR115" i="24"/>
  <c r="AM88" i="24"/>
  <c r="AD81" i="24"/>
  <c r="AH81" i="24" s="1"/>
  <c r="AD78" i="24"/>
  <c r="AS115" i="24" l="1"/>
  <c r="AJ81" i="24"/>
  <c r="AM81" i="24" s="1"/>
  <c r="AO81" i="24" s="1"/>
  <c r="AP81" i="24" s="1"/>
  <c r="AR81" i="24"/>
  <c r="AS81" i="24" s="1"/>
  <c r="AH64" i="24"/>
  <c r="AJ64" i="24" l="1"/>
  <c r="AR64" i="24"/>
  <c r="AS64" i="24" s="1"/>
  <c r="W7" i="5"/>
  <c r="AJ59" i="24" l="1"/>
  <c r="AM59" i="24" s="1"/>
  <c r="AD57" i="24"/>
  <c r="AD53" i="24"/>
  <c r="AH53" i="24"/>
  <c r="AL50" i="24"/>
  <c r="AM50" i="24" s="1"/>
  <c r="F14" i="38"/>
  <c r="AJ50" i="24"/>
  <c r="AD50" i="24"/>
  <c r="AL48" i="24"/>
  <c r="AM48" i="24" s="1"/>
  <c r="AJ53" i="24" l="1"/>
  <c r="AM53" i="24" s="1"/>
  <c r="AR53" i="24"/>
  <c r="AS53" i="24" s="1"/>
  <c r="AO59" i="24"/>
  <c r="AP59" i="24" s="1"/>
  <c r="AS59" i="24"/>
  <c r="AM47" i="24"/>
  <c r="AD47" i="24"/>
  <c r="AD42" i="24"/>
  <c r="AL42" i="24"/>
  <c r="AD44" i="24"/>
  <c r="AJ44" i="24" s="1"/>
  <c r="AJ36" i="24"/>
  <c r="AM36" i="24" s="1"/>
  <c r="AO36" i="24" s="1"/>
  <c r="AP36" i="24" s="1"/>
  <c r="AM44" i="24" l="1"/>
  <c r="AH44" i="24"/>
  <c r="AR44" i="24" s="1"/>
  <c r="AS44" i="24" s="1"/>
  <c r="AJ29" i="24"/>
  <c r="AD28" i="24"/>
  <c r="AJ28" i="24"/>
  <c r="AJ27" i="24"/>
  <c r="AM27" i="24" s="1"/>
  <c r="AJ25" i="24"/>
  <c r="AD25" i="24"/>
  <c r="AJ20" i="24"/>
  <c r="AD19" i="24"/>
  <c r="AH19" i="24" s="1"/>
  <c r="AJ19" i="24" l="1"/>
  <c r="AR19" i="24"/>
  <c r="AH9" i="24"/>
  <c r="AD9" i="24"/>
  <c r="AJ9" i="24" l="1"/>
  <c r="AR9" i="24"/>
  <c r="AS9" i="24" s="1"/>
  <c r="AS19" i="24"/>
  <c r="AF156" i="24"/>
  <c r="AF3" i="24"/>
  <c r="AF5" i="24"/>
  <c r="AF6" i="24"/>
  <c r="AF8" i="24"/>
  <c r="AF13" i="24"/>
  <c r="AF15" i="24"/>
  <c r="AF16" i="24"/>
  <c r="AF19" i="24"/>
  <c r="AF20" i="24"/>
  <c r="AF21" i="24"/>
  <c r="AF22" i="24"/>
  <c r="AF23" i="24"/>
  <c r="AF24" i="24"/>
  <c r="AF25" i="24"/>
  <c r="AF26" i="24"/>
  <c r="AF28" i="24"/>
  <c r="AF30" i="24"/>
  <c r="AF31" i="24"/>
  <c r="AF32" i="24"/>
  <c r="AF33" i="24"/>
  <c r="AF34" i="24"/>
  <c r="AF36" i="24"/>
  <c r="AF37" i="24"/>
  <c r="AF38" i="24"/>
  <c r="AF39" i="24"/>
  <c r="AF40" i="24"/>
  <c r="AF41" i="24"/>
  <c r="AF43" i="24"/>
  <c r="AF45" i="24"/>
  <c r="AF46" i="24"/>
  <c r="AF47" i="24"/>
  <c r="AF49" i="24"/>
  <c r="AF51" i="24"/>
  <c r="AF54" i="24"/>
  <c r="AF55" i="24"/>
  <c r="AF56" i="24"/>
  <c r="AF57" i="24"/>
  <c r="AF58" i="24"/>
  <c r="AF60" i="24"/>
  <c r="AF61" i="24"/>
  <c r="AF62" i="24"/>
  <c r="AF63" i="24"/>
  <c r="AF64" i="24"/>
  <c r="AF65" i="24"/>
  <c r="AF66" i="24"/>
  <c r="AF67" i="24"/>
  <c r="AF68" i="24"/>
  <c r="AF69" i="24"/>
  <c r="AF70" i="24"/>
  <c r="AF71" i="24"/>
  <c r="AF73" i="24"/>
  <c r="AF74" i="24"/>
  <c r="AF75" i="24"/>
  <c r="AF76" i="24"/>
  <c r="AF77" i="24"/>
  <c r="AF78" i="24"/>
  <c r="AF80" i="24"/>
  <c r="AF81" i="24"/>
  <c r="AF82" i="24"/>
  <c r="AF83" i="24"/>
  <c r="AF84" i="24"/>
  <c r="AF85" i="24"/>
  <c r="AF86" i="24"/>
  <c r="AF87" i="24"/>
  <c r="AF88" i="24"/>
  <c r="AF89" i="24"/>
  <c r="AF90" i="24"/>
  <c r="AF91" i="24"/>
  <c r="AF92" i="24"/>
  <c r="AF93" i="24"/>
  <c r="AF94" i="24"/>
  <c r="AF96" i="24"/>
  <c r="AF98" i="24"/>
  <c r="AF99" i="24"/>
  <c r="AF100" i="24"/>
  <c r="AF101" i="24"/>
  <c r="AF102" i="24"/>
  <c r="AF103" i="24"/>
  <c r="AF105" i="24"/>
  <c r="AF107" i="24"/>
  <c r="AF110" i="24"/>
  <c r="AF111" i="24"/>
  <c r="AF112" i="24"/>
  <c r="AF115" i="24"/>
  <c r="AF116" i="24"/>
  <c r="AF117" i="24"/>
  <c r="AF118" i="24"/>
  <c r="AF119" i="24"/>
  <c r="AF120" i="24"/>
  <c r="AF123" i="24"/>
  <c r="AF125" i="24"/>
  <c r="AF126" i="24"/>
  <c r="AF127" i="24"/>
  <c r="AF128" i="24"/>
  <c r="AF129" i="24"/>
  <c r="AF131" i="24"/>
  <c r="AF132" i="24"/>
  <c r="AF135" i="24"/>
  <c r="AF136" i="24"/>
  <c r="AF137" i="24"/>
  <c r="AF139" i="24"/>
  <c r="AF140" i="24"/>
  <c r="AF141" i="24"/>
  <c r="AF142" i="24"/>
  <c r="AF143" i="24"/>
  <c r="AF144" i="24"/>
  <c r="AF145" i="24"/>
  <c r="AF146" i="24"/>
  <c r="AF147" i="24"/>
  <c r="AF148" i="24"/>
  <c r="AF149" i="24"/>
  <c r="AF150" i="24"/>
  <c r="AF151" i="24"/>
  <c r="AF152" i="24"/>
  <c r="AF153" i="24"/>
  <c r="AF154" i="24"/>
  <c r="AF157" i="24"/>
  <c r="AF158" i="24"/>
  <c r="AF160" i="24"/>
  <c r="AF161" i="24"/>
  <c r="AF162" i="24"/>
  <c r="AF164" i="24"/>
  <c r="AF165" i="24"/>
  <c r="AF167" i="24"/>
  <c r="AF169" i="24"/>
  <c r="AF2" i="24"/>
  <c r="E116" i="24" l="1"/>
  <c r="AD168" i="24"/>
  <c r="AH168" i="24"/>
  <c r="AJ168" i="24" l="1"/>
  <c r="AM168" i="24" s="1"/>
  <c r="AF168" i="24" s="1"/>
  <c r="AR168" i="24"/>
  <c r="AS168" i="24" s="1"/>
  <c r="V14" i="5"/>
  <c r="AJ166" i="24" l="1"/>
  <c r="AM166" i="24" l="1"/>
  <c r="AF166" i="24" s="1"/>
  <c r="AS166" i="24"/>
  <c r="AJ72" i="24"/>
  <c r="AM72" i="24" s="1"/>
  <c r="AF72" i="24" s="1"/>
  <c r="AO166" i="24" l="1"/>
  <c r="AP166" i="24" s="1"/>
  <c r="AJ134" i="24"/>
  <c r="AS134" i="24" l="1"/>
  <c r="AM134" i="24"/>
  <c r="AJ128" i="24"/>
  <c r="AJ124" i="24"/>
  <c r="AM124" i="24" s="1"/>
  <c r="AF124" i="24" s="1"/>
  <c r="AO134" i="24" l="1"/>
  <c r="AP134" i="24" s="1"/>
  <c r="AF134" i="24"/>
  <c r="X11" i="5"/>
  <c r="X10" i="5"/>
  <c r="V10" i="5" s="1"/>
  <c r="AH110" i="24" l="1"/>
  <c r="AJ106" i="24"/>
  <c r="AD95" i="24"/>
  <c r="AF95" i="24" s="1"/>
  <c r="AF97" i="24"/>
  <c r="AJ110" i="24" l="1"/>
  <c r="AR110" i="24"/>
  <c r="AS110" i="24" s="1"/>
  <c r="AL87" i="24"/>
  <c r="AL86" i="24"/>
  <c r="AH84" i="24" l="1"/>
  <c r="AL79" i="24"/>
  <c r="AM79" i="24" s="1"/>
  <c r="AD79" i="24"/>
  <c r="AJ84" i="24" l="1"/>
  <c r="AR84" i="24"/>
  <c r="AS84" i="24" s="1"/>
  <c r="AJ79" i="24"/>
  <c r="AF79" i="24" s="1"/>
  <c r="AL78" i="24" l="1"/>
  <c r="AH78" i="24"/>
  <c r="AH76" i="24"/>
  <c r="AJ78" i="24" l="1"/>
  <c r="AR78" i="24"/>
  <c r="AS78" i="24" s="1"/>
  <c r="AJ76" i="24"/>
  <c r="AR76" i="24"/>
  <c r="AL73" i="24"/>
  <c r="AH73" i="24"/>
  <c r="AL71" i="24"/>
  <c r="AJ71" i="24"/>
  <c r="AR73" i="24" l="1"/>
  <c r="AS73" i="24" s="1"/>
  <c r="AJ73" i="24"/>
  <c r="AS76" i="24"/>
  <c r="AL33" i="24"/>
  <c r="AL100" i="24"/>
  <c r="AL60" i="24" l="1"/>
  <c r="AJ60" i="24"/>
  <c r="AS60" i="24" s="1"/>
  <c r="V7" i="5"/>
  <c r="AF34" i="7"/>
  <c r="AS57" i="24"/>
  <c r="AJ54" i="24"/>
  <c r="AF53" i="24"/>
  <c r="AD52" i="24" l="1"/>
  <c r="AF52" i="24" s="1"/>
  <c r="AH52" i="24"/>
  <c r="AC52" i="24"/>
  <c r="AF50" i="24"/>
  <c r="AF48" i="24"/>
  <c r="AH42" i="24"/>
  <c r="AJ42" i="24" l="1"/>
  <c r="AM42" i="24" s="1"/>
  <c r="AF42" i="24" s="1"/>
  <c r="AR42" i="24"/>
  <c r="AS42" i="24" s="1"/>
  <c r="AJ52" i="24"/>
  <c r="AR52" i="24"/>
  <c r="AS52" i="24" s="1"/>
  <c r="AF44" i="24"/>
  <c r="AL29" i="24"/>
  <c r="AM29" i="24" s="1"/>
  <c r="AF29" i="24" l="1"/>
  <c r="AL30" i="24"/>
  <c r="AL2" i="24"/>
  <c r="AJ22" i="24"/>
  <c r="AF11" i="24"/>
  <c r="AF12" i="24"/>
  <c r="AF10" i="24"/>
  <c r="AL27" i="24"/>
  <c r="AD27" i="24"/>
  <c r="AF27" i="24" s="1"/>
  <c r="AF9" i="24"/>
  <c r="AF7" i="24"/>
  <c r="AJ18" i="24" l="1"/>
  <c r="AD138" i="24" l="1"/>
  <c r="AJ138" i="24"/>
  <c r="AL138" i="24"/>
  <c r="AL103" i="24"/>
  <c r="AL104" i="24"/>
  <c r="AL106" i="24"/>
  <c r="AM106" i="24" s="1"/>
  <c r="AF106" i="24" s="1"/>
  <c r="AL108" i="24"/>
  <c r="AD108" i="24"/>
  <c r="AL110" i="24"/>
  <c r="AL109" i="24"/>
  <c r="AD109" i="24"/>
  <c r="AF109" i="24" s="1"/>
  <c r="AH109" i="24"/>
  <c r="AJ109" i="24" l="1"/>
  <c r="AR109" i="24"/>
  <c r="AM138" i="24"/>
  <c r="AO138" i="24" s="1"/>
  <c r="AP138" i="24" s="1"/>
  <c r="AS138" i="24"/>
  <c r="AH108" i="24"/>
  <c r="AF104" i="24"/>
  <c r="X9" i="5"/>
  <c r="AJ108" i="24" l="1"/>
  <c r="AM108" i="24" s="1"/>
  <c r="AF108" i="24" s="1"/>
  <c r="AR108" i="24"/>
  <c r="AS108" i="24" s="1"/>
  <c r="AF138" i="24"/>
  <c r="AS109" i="24"/>
  <c r="AH113" i="24"/>
  <c r="AL113" i="24"/>
  <c r="AL115" i="24"/>
  <c r="AD114" i="24"/>
  <c r="AF114" i="24" s="1"/>
  <c r="V114" i="24"/>
  <c r="AL120" i="24"/>
  <c r="AJ120" i="24"/>
  <c r="AS120" i="24" s="1"/>
  <c r="AL121" i="24"/>
  <c r="L21" i="22"/>
  <c r="AL10" i="1"/>
  <c r="AL13" i="1"/>
  <c r="AL17" i="1"/>
  <c r="AL21" i="1"/>
  <c r="AL22" i="1"/>
  <c r="AL31" i="1"/>
  <c r="AD121" i="24"/>
  <c r="AD18" i="24"/>
  <c r="AF18" i="24" s="1"/>
  <c r="AD14" i="24"/>
  <c r="AF14" i="24" s="1"/>
  <c r="AL123" i="24"/>
  <c r="AH123" i="24"/>
  <c r="AJ113" i="24" l="1"/>
  <c r="AM113" i="24" s="1"/>
  <c r="AF113" i="24" s="1"/>
  <c r="AR113" i="24"/>
  <c r="AS113" i="24" s="1"/>
  <c r="AJ123" i="24"/>
  <c r="AR123" i="24"/>
  <c r="AS123" i="24" s="1"/>
  <c r="AH121" i="24"/>
  <c r="AF121" i="24"/>
  <c r="AL128" i="24"/>
  <c r="AJ121" i="24" l="1"/>
  <c r="AR121" i="24"/>
  <c r="AO113" i="24"/>
  <c r="AP113" i="24" s="1"/>
  <c r="AL130" i="24"/>
  <c r="AJ130" i="24"/>
  <c r="AS121" i="24" l="1"/>
  <c r="AM130" i="24"/>
  <c r="AF130" i="24" s="1"/>
  <c r="AS130" i="24"/>
  <c r="AF133" i="24"/>
  <c r="AL133" i="24"/>
  <c r="AH133" i="24"/>
  <c r="AL150" i="24"/>
  <c r="AJ150" i="24"/>
  <c r="AS150" i="24" s="1"/>
  <c r="AL151" i="24"/>
  <c r="AJ151" i="24"/>
  <c r="AS151" i="24" s="1"/>
  <c r="AJ133" i="24" l="1"/>
  <c r="AR133" i="24"/>
  <c r="AS133" i="24" s="1"/>
  <c r="AO130" i="24"/>
  <c r="AL35" i="24"/>
  <c r="AJ35" i="24"/>
  <c r="AL163" i="24"/>
  <c r="AD163" i="24"/>
  <c r="AL157" i="24"/>
  <c r="AF35" i="24" l="1"/>
  <c r="AP130" i="24"/>
  <c r="AF163" i="24"/>
  <c r="AL159" i="24"/>
  <c r="AM159" i="24" s="1"/>
  <c r="AC159" i="24"/>
  <c r="AD159" i="24" s="1"/>
  <c r="AM186" i="24" l="1"/>
  <c r="AH159" i="24"/>
  <c r="AM43" i="1"/>
  <c r="AK25" i="1"/>
  <c r="AK31" i="1"/>
  <c r="AJ159" i="24" l="1"/>
  <c r="AF159" i="24" s="1"/>
  <c r="AR159" i="24"/>
  <c r="AG21" i="1"/>
  <c r="AS159" i="24" l="1"/>
  <c r="AF59" i="24"/>
  <c r="AD34" i="1"/>
  <c r="AF34" i="1" s="1"/>
  <c r="L85" i="30"/>
  <c r="AH55" i="24" l="1"/>
  <c r="AR55" i="24" s="1"/>
  <c r="AR183" i="24" s="1"/>
  <c r="AJ55" i="24" l="1"/>
  <c r="AS55" i="24" s="1"/>
  <c r="AD29" i="1"/>
  <c r="AH29" i="1"/>
  <c r="E18" i="28"/>
  <c r="E19" i="28" s="1"/>
  <c r="G48" i="18" l="1"/>
  <c r="H33" i="18"/>
  <c r="H15" i="18"/>
  <c r="H16" i="18"/>
  <c r="H21" i="18"/>
  <c r="H22" i="18"/>
  <c r="H25" i="18"/>
  <c r="H8" i="18"/>
  <c r="L123" i="26" l="1"/>
  <c r="M115" i="26"/>
  <c r="L115" i="26" s="1"/>
  <c r="L109" i="26"/>
  <c r="L100" i="26"/>
  <c r="L97" i="26"/>
  <c r="L81" i="26"/>
  <c r="L68" i="26"/>
  <c r="L58" i="26"/>
  <c r="L53" i="26"/>
  <c r="L48" i="26"/>
  <c r="L46" i="26"/>
  <c r="L33" i="26"/>
  <c r="K31" i="26"/>
  <c r="L31" i="26" s="1"/>
  <c r="L29" i="26"/>
  <c r="L20" i="26"/>
  <c r="L16" i="26"/>
  <c r="L13" i="26"/>
  <c r="L6" i="26"/>
  <c r="L2" i="26"/>
  <c r="AG36" i="24"/>
  <c r="H2" i="27"/>
  <c r="AG11" i="1" l="1"/>
  <c r="AC11" i="1"/>
  <c r="G7" i="25"/>
  <c r="AF12" i="1"/>
  <c r="AH11" i="1" l="1"/>
  <c r="AH10" i="1"/>
  <c r="AC25" i="1"/>
  <c r="AC21" i="1"/>
  <c r="AH21" i="1" s="1"/>
  <c r="G11" i="16"/>
  <c r="E12" i="16"/>
  <c r="AF27" i="1" l="1"/>
  <c r="AC23" i="1" l="1"/>
  <c r="AD23" i="1"/>
  <c r="J654" i="33" l="1"/>
  <c r="H654" i="33"/>
  <c r="H655" i="33" s="1"/>
  <c r="H113" i="32"/>
  <c r="H116" i="32" s="1"/>
  <c r="N112" i="32"/>
  <c r="L112" i="32"/>
  <c r="L111" i="32"/>
  <c r="N110" i="32"/>
  <c r="L110" i="32"/>
  <c r="N109" i="32"/>
  <c r="L114" i="32" s="1"/>
  <c r="L109" i="32"/>
  <c r="L108" i="32"/>
  <c r="L107" i="32"/>
  <c r="L106" i="32"/>
  <c r="L105" i="32"/>
  <c r="L104" i="32"/>
  <c r="L103" i="32"/>
  <c r="L102" i="32"/>
  <c r="L101" i="32"/>
  <c r="L100" i="32"/>
  <c r="L99" i="32"/>
  <c r="L98" i="32"/>
  <c r="L97" i="32"/>
  <c r="L96" i="32"/>
  <c r="L95" i="32"/>
  <c r="L94" i="32"/>
  <c r="L93" i="32"/>
  <c r="L92" i="32"/>
  <c r="L91" i="32"/>
  <c r="L90" i="32"/>
  <c r="L89" i="32"/>
  <c r="L88" i="32"/>
  <c r="L87" i="32"/>
  <c r="L86" i="32"/>
  <c r="L85" i="32"/>
  <c r="L84" i="32"/>
  <c r="L83" i="32"/>
  <c r="L82" i="32"/>
  <c r="L81" i="32"/>
  <c r="L80" i="32"/>
  <c r="L79" i="32"/>
  <c r="L78" i="32"/>
  <c r="L77" i="32"/>
  <c r="L76" i="32"/>
  <c r="L75" i="32"/>
  <c r="L74" i="32"/>
  <c r="L73" i="32"/>
  <c r="L72" i="32"/>
  <c r="L71" i="32"/>
  <c r="L70" i="32"/>
  <c r="L69" i="32"/>
  <c r="L68" i="32"/>
  <c r="L67" i="32"/>
  <c r="L66" i="32"/>
  <c r="L65" i="32"/>
  <c r="L64" i="32"/>
  <c r="L63" i="32"/>
  <c r="L62" i="32"/>
  <c r="L61" i="32"/>
  <c r="L60" i="32"/>
  <c r="L59" i="32"/>
  <c r="L58" i="32"/>
  <c r="L57" i="32"/>
  <c r="L56" i="32"/>
  <c r="L55" i="32"/>
  <c r="L54" i="32"/>
  <c r="L53" i="32"/>
  <c r="L52" i="32"/>
  <c r="L51" i="32"/>
  <c r="L50" i="32"/>
  <c r="L49" i="32"/>
  <c r="L48" i="32"/>
  <c r="L47" i="32"/>
  <c r="L46" i="32"/>
  <c r="L45" i="32"/>
  <c r="L44" i="32"/>
  <c r="L43" i="32"/>
  <c r="L42" i="32"/>
  <c r="L41" i="32"/>
  <c r="L40" i="32"/>
  <c r="L39" i="32"/>
  <c r="L38" i="32"/>
  <c r="L37" i="32"/>
  <c r="L36" i="32"/>
  <c r="L35" i="32"/>
  <c r="L34" i="32"/>
  <c r="L33" i="32"/>
  <c r="L32" i="32"/>
  <c r="L31" i="32"/>
  <c r="L30" i="32"/>
  <c r="L29" i="32"/>
  <c r="L28" i="32"/>
  <c r="L27" i="32"/>
  <c r="L26" i="32"/>
  <c r="L25" i="32"/>
  <c r="L24" i="32"/>
  <c r="L23" i="32"/>
  <c r="L22" i="32"/>
  <c r="L21" i="32"/>
  <c r="L20" i="32"/>
  <c r="L19" i="32"/>
  <c r="L18" i="32"/>
  <c r="L17" i="32"/>
  <c r="L16" i="32"/>
  <c r="L15" i="32"/>
  <c r="L14" i="32"/>
  <c r="L13" i="32"/>
  <c r="L12" i="32"/>
  <c r="L11" i="32"/>
  <c r="L10" i="32"/>
  <c r="L9" i="32"/>
  <c r="L8" i="32"/>
  <c r="L7" i="32"/>
  <c r="L6" i="32"/>
  <c r="L5" i="32"/>
  <c r="L4" i="32"/>
  <c r="L3" i="32"/>
  <c r="G16" i="31"/>
  <c r="I16" i="31" s="1"/>
  <c r="I15" i="31"/>
  <c r="I14" i="31"/>
  <c r="G12" i="31"/>
  <c r="E12" i="31"/>
  <c r="H85" i="30"/>
  <c r="J84" i="30"/>
  <c r="H84" i="30"/>
  <c r="H89" i="30" s="1"/>
  <c r="D25" i="29"/>
  <c r="B25" i="29"/>
  <c r="F7" i="28"/>
  <c r="F4" i="28"/>
  <c r="F8" i="28" s="1"/>
  <c r="G8" i="28" s="1"/>
  <c r="G58" i="27"/>
  <c r="E58" i="27"/>
  <c r="I54" i="27"/>
  <c r="L55" i="27" s="1"/>
  <c r="H51" i="27"/>
  <c r="H49" i="27"/>
  <c r="H46" i="27"/>
  <c r="H41" i="27"/>
  <c r="H39" i="27"/>
  <c r="H36" i="27"/>
  <c r="H31" i="27"/>
  <c r="J27" i="27"/>
  <c r="L28" i="27" s="1"/>
  <c r="H25" i="27"/>
  <c r="H21" i="27"/>
  <c r="H18" i="27"/>
  <c r="H15" i="27"/>
  <c r="H13" i="27"/>
  <c r="K122" i="26"/>
  <c r="K115" i="26"/>
  <c r="K110" i="26"/>
  <c r="F110" i="26"/>
  <c r="K106" i="26"/>
  <c r="K102" i="26"/>
  <c r="L102" i="26" s="1"/>
  <c r="F102" i="26"/>
  <c r="K98" i="26"/>
  <c r="K95" i="26"/>
  <c r="L95" i="26" s="1"/>
  <c r="F95" i="26"/>
  <c r="K89" i="26"/>
  <c r="L89" i="26" s="1"/>
  <c r="F89" i="26"/>
  <c r="K78" i="26"/>
  <c r="L78" i="26" s="1"/>
  <c r="K72" i="26"/>
  <c r="L72" i="26" s="1"/>
  <c r="K71" i="26"/>
  <c r="F68" i="26"/>
  <c r="K64" i="26"/>
  <c r="L64" i="26" s="1"/>
  <c r="F58" i="26"/>
  <c r="K57" i="26"/>
  <c r="L57" i="26" s="1"/>
  <c r="K51" i="26"/>
  <c r="L51" i="26" s="1"/>
  <c r="F48" i="26"/>
  <c r="F47" i="26"/>
  <c r="K45" i="26"/>
  <c r="L45" i="26" s="1"/>
  <c r="K42" i="26"/>
  <c r="L42" i="26" s="1"/>
  <c r="K35" i="26"/>
  <c r="F35" i="26"/>
  <c r="K22" i="26"/>
  <c r="L22" i="26" s="1"/>
  <c r="F21" i="26"/>
  <c r="K19" i="26"/>
  <c r="L19" i="26" s="1"/>
  <c r="F16" i="26"/>
  <c r="F18" i="26" s="1"/>
  <c r="K15" i="26"/>
  <c r="L15" i="26" s="1"/>
  <c r="K12" i="26"/>
  <c r="F11" i="26"/>
  <c r="E22" i="25"/>
  <c r="E20" i="25"/>
  <c r="E17" i="25"/>
  <c r="E15" i="25"/>
  <c r="E13" i="25"/>
  <c r="E10" i="25"/>
  <c r="E7" i="25"/>
  <c r="G6" i="25"/>
  <c r="D6" i="25"/>
  <c r="E4" i="25"/>
  <c r="E79" i="23"/>
  <c r="F67" i="23"/>
  <c r="H58" i="23"/>
  <c r="F35" i="23"/>
  <c r="F34" i="23"/>
  <c r="F32" i="23"/>
  <c r="F19" i="23"/>
  <c r="F17" i="23"/>
  <c r="J20" i="22"/>
  <c r="J19" i="22"/>
  <c r="H15" i="22"/>
  <c r="I14" i="22"/>
  <c r="H14" i="22"/>
  <c r="E11" i="22"/>
  <c r="H52" i="21"/>
  <c r="H49" i="21"/>
  <c r="H43" i="21"/>
  <c r="H34" i="21"/>
  <c r="H27" i="21"/>
  <c r="H4" i="21"/>
  <c r="L51" i="19"/>
  <c r="L50" i="19"/>
  <c r="L48" i="19"/>
  <c r="L47" i="19"/>
  <c r="L46" i="19"/>
  <c r="L45" i="19"/>
  <c r="L43" i="19"/>
  <c r="L40" i="19"/>
  <c r="L38" i="19"/>
  <c r="L36" i="19"/>
  <c r="L35" i="19"/>
  <c r="L33" i="19"/>
  <c r="L31" i="19"/>
  <c r="L30" i="19"/>
  <c r="L27" i="19"/>
  <c r="L24" i="19"/>
  <c r="L23" i="19"/>
  <c r="L19" i="19"/>
  <c r="L17" i="19"/>
  <c r="L13" i="19"/>
  <c r="L11" i="19"/>
  <c r="L9" i="19"/>
  <c r="L8" i="19"/>
  <c r="L5" i="19"/>
  <c r="L3" i="19"/>
  <c r="F30" i="18"/>
  <c r="H30" i="18" s="1"/>
  <c r="H48" i="18" s="1"/>
  <c r="F24" i="18"/>
  <c r="F5" i="18"/>
  <c r="F4" i="18"/>
  <c r="F23" i="17"/>
  <c r="C44" i="20"/>
  <c r="E44" i="20" s="1"/>
  <c r="C43" i="20"/>
  <c r="E43" i="20" s="1"/>
  <c r="C42" i="20"/>
  <c r="E42" i="20" s="1"/>
  <c r="E41" i="20"/>
  <c r="C41" i="20"/>
  <c r="C40" i="20"/>
  <c r="E40" i="20" s="1"/>
  <c r="E39" i="20"/>
  <c r="C39" i="20"/>
  <c r="C38" i="20"/>
  <c r="E38" i="20" s="1"/>
  <c r="C37" i="20"/>
  <c r="E37" i="20" s="1"/>
  <c r="C36" i="20"/>
  <c r="E36" i="20" s="1"/>
  <c r="C35" i="20"/>
  <c r="E35" i="20" s="1"/>
  <c r="C34" i="20"/>
  <c r="E34" i="20" s="1"/>
  <c r="E33" i="20"/>
  <c r="C33" i="20"/>
  <c r="C32" i="20"/>
  <c r="E32" i="20" s="1"/>
  <c r="C31" i="20"/>
  <c r="E31" i="20" s="1"/>
  <c r="C30" i="20"/>
  <c r="E30" i="20" s="1"/>
  <c r="C29" i="20"/>
  <c r="E29" i="20" s="1"/>
  <c r="C28" i="20"/>
  <c r="E28" i="20" s="1"/>
  <c r="C27" i="20"/>
  <c r="E27" i="20" s="1"/>
  <c r="C26" i="20"/>
  <c r="E26" i="20" s="1"/>
  <c r="C25" i="20"/>
  <c r="E25" i="20" s="1"/>
  <c r="C24" i="20"/>
  <c r="E24" i="20" s="1"/>
  <c r="E23" i="20"/>
  <c r="C23" i="20"/>
  <c r="C22" i="20"/>
  <c r="E22" i="20" s="1"/>
  <c r="E21" i="20"/>
  <c r="C21" i="20"/>
  <c r="C20" i="20"/>
  <c r="E20" i="20" s="1"/>
  <c r="C19" i="20"/>
  <c r="E19" i="20" s="1"/>
  <c r="C18" i="20"/>
  <c r="E18" i="20" s="1"/>
  <c r="C17" i="20"/>
  <c r="E17" i="20" s="1"/>
  <c r="C16" i="20"/>
  <c r="E16" i="20" s="1"/>
  <c r="C15" i="20"/>
  <c r="E15" i="20" s="1"/>
  <c r="C14" i="20"/>
  <c r="E14" i="20" s="1"/>
  <c r="C13" i="20"/>
  <c r="E13" i="20" s="1"/>
  <c r="C12" i="20"/>
  <c r="E12" i="20" s="1"/>
  <c r="C11" i="20"/>
  <c r="E11" i="20" s="1"/>
  <c r="C10" i="20"/>
  <c r="E10" i="20" s="1"/>
  <c r="C9" i="20"/>
  <c r="E9" i="20" s="1"/>
  <c r="C8" i="20"/>
  <c r="E8" i="20" s="1"/>
  <c r="E7" i="20"/>
  <c r="C7" i="20"/>
  <c r="C6" i="20"/>
  <c r="E6" i="20" s="1"/>
  <c r="E5" i="20"/>
  <c r="C5" i="20"/>
  <c r="C4" i="20"/>
  <c r="E4" i="20" s="1"/>
  <c r="C3" i="20"/>
  <c r="E3" i="20" s="1"/>
  <c r="C2" i="20"/>
  <c r="E2" i="20" s="1"/>
  <c r="E45" i="15"/>
  <c r="F28" i="15"/>
  <c r="F26" i="15"/>
  <c r="H8" i="15"/>
  <c r="F3" i="15"/>
  <c r="F42" i="14"/>
  <c r="F43" i="14" s="1"/>
  <c r="E42" i="14"/>
  <c r="H41" i="14"/>
  <c r="H40" i="14"/>
  <c r="H39" i="14"/>
  <c r="H38" i="14"/>
  <c r="H37" i="14"/>
  <c r="H36" i="14"/>
  <c r="H35" i="14"/>
  <c r="H34" i="14"/>
  <c r="H33" i="14"/>
  <c r="H32" i="14"/>
  <c r="H31" i="14"/>
  <c r="H30" i="14"/>
  <c r="H29" i="14"/>
  <c r="H28" i="14"/>
  <c r="H27" i="14"/>
  <c r="H26" i="14"/>
  <c r="H25" i="14"/>
  <c r="H24" i="14"/>
  <c r="H23" i="14"/>
  <c r="H22" i="14"/>
  <c r="H21" i="14"/>
  <c r="H20" i="14"/>
  <c r="H19" i="14"/>
  <c r="H18" i="14"/>
  <c r="H17" i="14"/>
  <c r="H16" i="14"/>
  <c r="H15" i="14"/>
  <c r="H14" i="14"/>
  <c r="H13" i="14"/>
  <c r="H12" i="14"/>
  <c r="H11" i="14"/>
  <c r="H10" i="14"/>
  <c r="H9" i="14"/>
  <c r="H8" i="14"/>
  <c r="H7" i="14"/>
  <c r="H6" i="14"/>
  <c r="H5" i="14"/>
  <c r="H4" i="14"/>
  <c r="H3" i="14"/>
  <c r="E122" i="13"/>
  <c r="F121" i="13"/>
  <c r="F120" i="13"/>
  <c r="F119" i="13"/>
  <c r="F118" i="13"/>
  <c r="F117" i="13"/>
  <c r="F116" i="13"/>
  <c r="F115" i="13"/>
  <c r="F114" i="13"/>
  <c r="F113" i="13"/>
  <c r="F112" i="13"/>
  <c r="F111" i="13"/>
  <c r="F110" i="13"/>
  <c r="F109" i="13"/>
  <c r="F108" i="13"/>
  <c r="F107" i="13"/>
  <c r="F106" i="13"/>
  <c r="F105" i="13"/>
  <c r="F104" i="13"/>
  <c r="F103" i="13"/>
  <c r="F102" i="13"/>
  <c r="F101" i="13"/>
  <c r="F100" i="13"/>
  <c r="F99" i="13"/>
  <c r="F98" i="13"/>
  <c r="F97" i="13"/>
  <c r="F96" i="13"/>
  <c r="F95" i="13"/>
  <c r="F94" i="13"/>
  <c r="F93" i="13"/>
  <c r="F92" i="13"/>
  <c r="F91" i="13"/>
  <c r="F90" i="13"/>
  <c r="F89" i="13"/>
  <c r="F88" i="13"/>
  <c r="F87" i="13"/>
  <c r="F86" i="13"/>
  <c r="F85" i="13"/>
  <c r="F84" i="13"/>
  <c r="F83" i="13"/>
  <c r="F82" i="13"/>
  <c r="F81" i="13"/>
  <c r="F80" i="13"/>
  <c r="F79" i="13"/>
  <c r="F78" i="13"/>
  <c r="F77" i="13"/>
  <c r="F76" i="13"/>
  <c r="F75" i="13"/>
  <c r="F74" i="13"/>
  <c r="F73" i="13"/>
  <c r="F72" i="13"/>
  <c r="F71" i="13"/>
  <c r="F70" i="13"/>
  <c r="F69" i="13"/>
  <c r="F68" i="13"/>
  <c r="F67" i="13"/>
  <c r="F66" i="13"/>
  <c r="F65" i="13"/>
  <c r="F64" i="13"/>
  <c r="F63" i="13"/>
  <c r="F62" i="13"/>
  <c r="F61" i="13"/>
  <c r="F60" i="13"/>
  <c r="F59" i="13"/>
  <c r="F58" i="13"/>
  <c r="F57" i="13"/>
  <c r="F56" i="13"/>
  <c r="F55" i="13"/>
  <c r="F54" i="13"/>
  <c r="F53" i="13"/>
  <c r="F52" i="13"/>
  <c r="F51" i="13"/>
  <c r="F50" i="13"/>
  <c r="F49" i="13"/>
  <c r="F48" i="13"/>
  <c r="F47" i="13"/>
  <c r="F46" i="13"/>
  <c r="F45" i="13"/>
  <c r="F44" i="13"/>
  <c r="F43" i="13"/>
  <c r="F42" i="13"/>
  <c r="F41" i="13"/>
  <c r="F40" i="13"/>
  <c r="F39" i="13"/>
  <c r="F38" i="13"/>
  <c r="F37" i="13"/>
  <c r="F36" i="13"/>
  <c r="F35" i="13"/>
  <c r="F34" i="13"/>
  <c r="F33" i="13"/>
  <c r="F32" i="13"/>
  <c r="F31" i="13"/>
  <c r="F30" i="13"/>
  <c r="F29" i="13"/>
  <c r="F28" i="13"/>
  <c r="F27" i="13"/>
  <c r="F26" i="13"/>
  <c r="F25" i="13"/>
  <c r="F24" i="13"/>
  <c r="F23" i="13"/>
  <c r="F22" i="13"/>
  <c r="F21" i="13"/>
  <c r="F20" i="13"/>
  <c r="F19" i="13"/>
  <c r="F18" i="13"/>
  <c r="F17" i="13"/>
  <c r="F16" i="13"/>
  <c r="F15" i="13"/>
  <c r="F14" i="13"/>
  <c r="F13" i="13"/>
  <c r="F12" i="13"/>
  <c r="F11" i="13"/>
  <c r="F10" i="13"/>
  <c r="F9" i="13"/>
  <c r="F8" i="13"/>
  <c r="F7" i="13"/>
  <c r="F6" i="13"/>
  <c r="F5" i="13"/>
  <c r="F4" i="13"/>
  <c r="F3" i="13"/>
  <c r="D68" i="12"/>
  <c r="E68" i="12" s="1"/>
  <c r="H17" i="10"/>
  <c r="H16" i="10"/>
  <c r="H15" i="10"/>
  <c r="H14" i="10"/>
  <c r="H13" i="10"/>
  <c r="H12" i="10"/>
  <c r="H11" i="10"/>
  <c r="H10" i="10"/>
  <c r="H9" i="10"/>
  <c r="H8" i="10"/>
  <c r="H7" i="10"/>
  <c r="H6" i="10"/>
  <c r="H5" i="10"/>
  <c r="H4" i="10"/>
  <c r="H3" i="10"/>
  <c r="AD36" i="7"/>
  <c r="AB31" i="7"/>
  <c r="AB36" i="7" s="1"/>
  <c r="Z31" i="7"/>
  <c r="Z36" i="7" s="1"/>
  <c r="X29" i="7"/>
  <c r="X36" i="7" s="1"/>
  <c r="V27" i="7"/>
  <c r="V36" i="7" s="1"/>
  <c r="T25" i="7"/>
  <c r="T36" i="7" s="1"/>
  <c r="R24" i="7"/>
  <c r="R20" i="7"/>
  <c r="P19" i="7"/>
  <c r="P36" i="7" s="1"/>
  <c r="N18" i="7"/>
  <c r="N36" i="7" s="1"/>
  <c r="L17" i="7"/>
  <c r="L36" i="7" s="1"/>
  <c r="J16" i="7"/>
  <c r="J36" i="7" s="1"/>
  <c r="H15" i="7"/>
  <c r="B4" i="6"/>
  <c r="X16" i="5"/>
  <c r="U7" i="5"/>
  <c r="AC59" i="24"/>
  <c r="AE55" i="24"/>
  <c r="AC57" i="24"/>
  <c r="AA64" i="24"/>
  <c r="AE54" i="24"/>
  <c r="AC31" i="24"/>
  <c r="AD31" i="1"/>
  <c r="AF31" i="1" s="1"/>
  <c r="AF30" i="1"/>
  <c r="AD30" i="1"/>
  <c r="AD24" i="1"/>
  <c r="AE22" i="1"/>
  <c r="AD20" i="1"/>
  <c r="AF20" i="1" s="1"/>
  <c r="V17" i="1"/>
  <c r="AF15" i="1"/>
  <c r="W15" i="1"/>
  <c r="AE13" i="1"/>
  <c r="AD11" i="1"/>
  <c r="AL9" i="1"/>
  <c r="AF9" i="1"/>
  <c r="AE9" i="1"/>
  <c r="AD8" i="1"/>
  <c r="AC8" i="1"/>
  <c r="AL8" i="1" s="1"/>
  <c r="AE7" i="1"/>
  <c r="J18" i="10" l="1"/>
  <c r="K18" i="10" s="1"/>
  <c r="F44" i="26"/>
  <c r="R36" i="7"/>
  <c r="D26" i="29"/>
  <c r="D27" i="29" s="1"/>
  <c r="H55" i="21"/>
  <c r="K124" i="26"/>
  <c r="L12" i="26"/>
  <c r="F122" i="13"/>
  <c r="H42" i="14"/>
  <c r="F48" i="18"/>
  <c r="F79" i="23"/>
  <c r="E25" i="25"/>
  <c r="F108" i="26"/>
  <c r="L106" i="26"/>
  <c r="L113" i="32"/>
  <c r="AF8" i="1"/>
  <c r="F38" i="7"/>
  <c r="L98" i="26"/>
  <c r="F99" i="26"/>
  <c r="I59" i="27"/>
  <c r="H58" i="27"/>
  <c r="H59" i="27" s="1"/>
  <c r="H61" i="27" s="1"/>
  <c r="F44" i="15"/>
  <c r="C45" i="20"/>
  <c r="B45" i="20" s="1"/>
  <c r="B46" i="20" s="1"/>
  <c r="E45" i="20"/>
  <c r="E17" i="31"/>
  <c r="E18" i="31" s="1"/>
  <c r="J16" i="31"/>
  <c r="AE8" i="1"/>
  <c r="H36" i="7"/>
  <c r="L124" i="26" l="1"/>
  <c r="L125" i="26" s="1"/>
  <c r="AF4" i="24" l="1"/>
  <c r="AN183" i="24"/>
  <c r="AN185" i="24" s="1"/>
  <c r="AO167" i="24"/>
  <c r="AP167" i="24" s="1"/>
  <c r="AP183" i="24" s="1"/>
  <c r="AS167" i="24"/>
  <c r="AO183" i="24" l="1"/>
  <c r="AR176" i="24"/>
  <c r="AS176" i="24" s="1"/>
</calcChain>
</file>

<file path=xl/comments1.xml><?xml version="1.0" encoding="utf-8"?>
<comments xmlns="http://schemas.openxmlformats.org/spreadsheetml/2006/main">
  <authors>
    <author>Administrator</author>
  </authors>
  <commentList>
    <comment ref="AA31" authorId="0" shapeId="0">
      <text>
        <r>
          <rPr>
            <b/>
            <sz val="9"/>
            <rFont val="宋体"/>
            <family val="3"/>
            <charset val="134"/>
          </rPr>
          <t>Administrator:</t>
        </r>
        <r>
          <rPr>
            <sz val="9"/>
            <rFont val="宋体"/>
            <family val="3"/>
            <charset val="134"/>
          </rPr>
          <t xml:space="preserve">
日元</t>
        </r>
      </text>
    </comment>
    <comment ref="AG37" authorId="0" shapeId="0">
      <text>
        <r>
          <rPr>
            <b/>
            <sz val="9"/>
            <rFont val="宋体"/>
            <family val="3"/>
            <charset val="134"/>
          </rPr>
          <t>Administrator:</t>
        </r>
        <r>
          <rPr>
            <sz val="9"/>
            <rFont val="宋体"/>
            <family val="3"/>
            <charset val="134"/>
          </rPr>
          <t xml:space="preserve">
税费</t>
        </r>
      </text>
    </comment>
    <comment ref="AF59" authorId="0" shapeId="0">
      <text>
        <r>
          <rPr>
            <b/>
            <sz val="9"/>
            <rFont val="宋体"/>
            <family val="3"/>
            <charset val="134"/>
          </rPr>
          <t>Administrator:</t>
        </r>
        <r>
          <rPr>
            <sz val="9"/>
            <rFont val="宋体"/>
            <family val="3"/>
            <charset val="134"/>
          </rPr>
          <t xml:space="preserve">
付款人信息不对称，扣除的金额</t>
        </r>
      </text>
    </comment>
    <comment ref="AG59" authorId="0" shapeId="0">
      <text>
        <r>
          <rPr>
            <b/>
            <sz val="9"/>
            <rFont val="宋体"/>
            <family val="3"/>
            <charset val="134"/>
          </rPr>
          <t>Administrator:</t>
        </r>
        <r>
          <rPr>
            <sz val="9"/>
            <rFont val="宋体"/>
            <family val="3"/>
            <charset val="134"/>
          </rPr>
          <t xml:space="preserve">
付款人信息不对称，扣除的金额</t>
        </r>
      </text>
    </comment>
    <comment ref="AG61" authorId="0" shapeId="0">
      <text>
        <r>
          <rPr>
            <b/>
            <sz val="9"/>
            <rFont val="宋体"/>
            <family val="3"/>
            <charset val="134"/>
          </rPr>
          <t>Administrator:</t>
        </r>
        <r>
          <rPr>
            <sz val="9"/>
            <rFont val="宋体"/>
            <family val="3"/>
            <charset val="134"/>
          </rPr>
          <t xml:space="preserve">
税费</t>
        </r>
      </text>
    </comment>
    <comment ref="AC67" authorId="0" shapeId="0">
      <text>
        <r>
          <rPr>
            <b/>
            <sz val="9"/>
            <rFont val="宋体"/>
            <family val="3"/>
            <charset val="134"/>
          </rPr>
          <t>Administrator:</t>
        </r>
        <r>
          <rPr>
            <sz val="9"/>
            <rFont val="宋体"/>
            <family val="3"/>
            <charset val="134"/>
          </rPr>
          <t xml:space="preserve">
人民币</t>
        </r>
      </text>
    </comment>
    <comment ref="AH125" authorId="0" shapeId="0">
      <text>
        <r>
          <rPr>
            <b/>
            <sz val="9"/>
            <rFont val="宋体"/>
            <family val="3"/>
            <charset val="134"/>
          </rPr>
          <t>Administrator:</t>
        </r>
        <r>
          <rPr>
            <sz val="9"/>
            <rFont val="宋体"/>
            <family val="3"/>
            <charset val="134"/>
          </rPr>
          <t xml:space="preserve">
审核金额122547.17</t>
        </r>
      </text>
    </comment>
    <comment ref="AG131" authorId="0" shapeId="0">
      <text>
        <r>
          <rPr>
            <b/>
            <sz val="9"/>
            <rFont val="宋体"/>
            <family val="3"/>
            <charset val="134"/>
          </rPr>
          <t>Administrator:</t>
        </r>
        <r>
          <rPr>
            <sz val="9"/>
            <rFont val="宋体"/>
            <family val="3"/>
            <charset val="134"/>
          </rPr>
          <t xml:space="preserve">
税费不给予补贴</t>
        </r>
      </text>
    </comment>
    <comment ref="AG132" authorId="0" shapeId="0">
      <text>
        <r>
          <rPr>
            <b/>
            <sz val="9"/>
            <rFont val="宋体"/>
            <family val="3"/>
            <charset val="134"/>
          </rPr>
          <t>Administrator:</t>
        </r>
        <r>
          <rPr>
            <sz val="9"/>
            <rFont val="宋体"/>
            <family val="3"/>
            <charset val="134"/>
          </rPr>
          <t xml:space="preserve">
最高按照每人4500给予补贴</t>
        </r>
      </text>
    </comment>
    <comment ref="AD161" authorId="0" shapeId="0">
      <text>
        <r>
          <rPr>
            <b/>
            <sz val="9"/>
            <rFont val="宋体"/>
            <family val="3"/>
            <charset val="134"/>
          </rPr>
          <t>Administrator:</t>
        </r>
        <r>
          <rPr>
            <sz val="9"/>
            <rFont val="宋体"/>
            <family val="3"/>
            <charset val="134"/>
          </rPr>
          <t xml:space="preserve">
人员费用不包括在内</t>
        </r>
      </text>
    </comment>
    <comment ref="AF161" authorId="0" shapeId="0">
      <text>
        <r>
          <rPr>
            <b/>
            <sz val="9"/>
            <rFont val="宋体"/>
            <family val="3"/>
            <charset val="134"/>
          </rPr>
          <t>Administrator:</t>
        </r>
        <r>
          <rPr>
            <sz val="9"/>
            <rFont val="宋体"/>
            <family val="3"/>
            <charset val="134"/>
          </rPr>
          <t xml:space="preserve">
人员费用不包括在内</t>
        </r>
      </text>
    </comment>
  </commentList>
</comments>
</file>

<file path=xl/comments2.xml><?xml version="1.0" encoding="utf-8"?>
<comments xmlns="http://schemas.openxmlformats.org/spreadsheetml/2006/main">
  <authors>
    <author>dell</author>
    <author>Administrator</author>
  </authors>
  <commentList>
    <comment ref="AC8" authorId="0" shapeId="0">
      <text>
        <r>
          <rPr>
            <b/>
            <sz val="9"/>
            <rFont val="宋体"/>
            <family val="3"/>
            <charset val="134"/>
          </rPr>
          <t>dell:</t>
        </r>
        <r>
          <rPr>
            <sz val="9"/>
            <rFont val="宋体"/>
            <family val="3"/>
            <charset val="134"/>
          </rPr>
          <t xml:space="preserve">
银行汇款凭证金额为4025224.65</t>
        </r>
      </text>
    </comment>
    <comment ref="AD8" authorId="0" shapeId="0">
      <text>
        <r>
          <rPr>
            <b/>
            <sz val="9"/>
            <rFont val="宋体"/>
            <family val="3"/>
            <charset val="134"/>
          </rPr>
          <t>dell:</t>
        </r>
        <r>
          <rPr>
            <sz val="9"/>
            <rFont val="宋体"/>
            <family val="3"/>
            <charset val="134"/>
          </rPr>
          <t xml:space="preserve">
按照他们公司表中修改所示</t>
        </r>
      </text>
    </comment>
    <comment ref="AC9" authorId="1" shapeId="0">
      <text>
        <r>
          <rPr>
            <b/>
            <sz val="9"/>
            <rFont val="宋体"/>
            <family val="3"/>
            <charset val="134"/>
          </rPr>
          <t>Administrator:</t>
        </r>
        <r>
          <rPr>
            <sz val="9"/>
            <rFont val="宋体"/>
            <family val="3"/>
            <charset val="134"/>
          </rPr>
          <t xml:space="preserve">
人民币</t>
        </r>
      </text>
    </comment>
    <comment ref="AC10" authorId="1" shapeId="0">
      <text>
        <r>
          <rPr>
            <b/>
            <sz val="9"/>
            <rFont val="宋体"/>
            <family val="3"/>
            <charset val="134"/>
          </rPr>
          <t>Administrator:</t>
        </r>
        <r>
          <rPr>
            <sz val="9"/>
            <rFont val="宋体"/>
            <family val="3"/>
            <charset val="134"/>
          </rPr>
          <t xml:space="preserve">
美元</t>
        </r>
      </text>
    </comment>
    <comment ref="AC11" authorId="1" shapeId="0">
      <text>
        <r>
          <rPr>
            <b/>
            <sz val="9"/>
            <rFont val="宋体"/>
            <family val="3"/>
            <charset val="134"/>
          </rPr>
          <t>Administrator:</t>
        </r>
        <r>
          <rPr>
            <sz val="9"/>
            <rFont val="宋体"/>
            <family val="3"/>
            <charset val="134"/>
          </rPr>
          <t xml:space="preserve">
万美元</t>
        </r>
      </text>
    </comment>
    <comment ref="W15" authorId="1" shapeId="0">
      <text>
        <r>
          <rPr>
            <b/>
            <sz val="9"/>
            <rFont val="宋体"/>
            <family val="3"/>
            <charset val="134"/>
          </rPr>
          <t>Administrator:</t>
        </r>
        <r>
          <rPr>
            <sz val="9"/>
            <rFont val="宋体"/>
            <family val="3"/>
            <charset val="134"/>
          </rPr>
          <t xml:space="preserve">
元</t>
        </r>
      </text>
    </comment>
    <comment ref="AF15" authorId="1" shapeId="0">
      <text>
        <r>
          <rPr>
            <b/>
            <sz val="9"/>
            <rFont val="宋体"/>
            <family val="3"/>
            <charset val="134"/>
          </rPr>
          <t>Administrator:</t>
        </r>
        <r>
          <rPr>
            <sz val="9"/>
            <rFont val="宋体"/>
            <family val="3"/>
            <charset val="134"/>
          </rPr>
          <t xml:space="preserve">
文件规定报销70%</t>
        </r>
      </text>
    </comment>
    <comment ref="AF20" authorId="1" shapeId="0">
      <text>
        <r>
          <rPr>
            <b/>
            <sz val="9"/>
            <rFont val="宋体"/>
            <family val="3"/>
            <charset val="134"/>
          </rPr>
          <t>Administrator:</t>
        </r>
        <r>
          <rPr>
            <sz val="9"/>
            <rFont val="宋体"/>
            <family val="3"/>
            <charset val="134"/>
          </rPr>
          <t xml:space="preserve">
汇率核减</t>
        </r>
      </text>
    </comment>
    <comment ref="AL20" authorId="1" shapeId="0">
      <text>
        <r>
          <rPr>
            <b/>
            <sz val="9"/>
            <rFont val="宋体"/>
            <family val="3"/>
            <charset val="134"/>
          </rPr>
          <t>Administrator:</t>
        </r>
        <r>
          <rPr>
            <sz val="9"/>
            <rFont val="宋体"/>
            <family val="3"/>
            <charset val="134"/>
          </rPr>
          <t xml:space="preserve">
详见明细清单，印尼盾汇率不清楚。</t>
        </r>
      </text>
    </comment>
    <comment ref="AF27" authorId="1" shapeId="0">
      <text>
        <r>
          <rPr>
            <b/>
            <sz val="9"/>
            <rFont val="宋体"/>
            <family val="3"/>
            <charset val="134"/>
          </rPr>
          <t>Administrator:</t>
        </r>
        <r>
          <rPr>
            <sz val="9"/>
            <rFont val="宋体"/>
            <family val="3"/>
            <charset val="134"/>
          </rPr>
          <t xml:space="preserve">
人员费用不包括在内</t>
        </r>
      </text>
    </comment>
    <comment ref="AC30" authorId="1" shapeId="0">
      <text>
        <r>
          <rPr>
            <b/>
            <sz val="9"/>
            <rFont val="宋体"/>
            <family val="3"/>
            <charset val="134"/>
          </rPr>
          <t>Administrator:</t>
        </r>
        <r>
          <rPr>
            <sz val="9"/>
            <rFont val="宋体"/>
            <family val="3"/>
            <charset val="134"/>
          </rPr>
          <t xml:space="preserve">
万美元</t>
        </r>
      </text>
    </comment>
    <comment ref="AC34" authorId="1" shapeId="0">
      <text>
        <r>
          <rPr>
            <b/>
            <sz val="9"/>
            <rFont val="宋体"/>
            <family val="3"/>
            <charset val="134"/>
          </rPr>
          <t>Administrator:</t>
        </r>
        <r>
          <rPr>
            <sz val="9"/>
            <rFont val="宋体"/>
            <family val="3"/>
            <charset val="134"/>
          </rPr>
          <t xml:space="preserve">
万美元
有三项金额对应不上</t>
        </r>
      </text>
    </comment>
  </commentList>
</comments>
</file>

<file path=xl/comments3.xml><?xml version="1.0" encoding="utf-8"?>
<comments xmlns="http://schemas.openxmlformats.org/spreadsheetml/2006/main">
  <authors>
    <author>dell</author>
  </authors>
  <commentList>
    <comment ref="R7" authorId="0" shapeId="0">
      <text>
        <r>
          <rPr>
            <b/>
            <sz val="9"/>
            <rFont val="宋体"/>
            <family val="3"/>
            <charset val="134"/>
          </rPr>
          <t>dell:按照文件要求美元最新汇率计算</t>
        </r>
      </text>
    </comment>
  </commentList>
</comments>
</file>

<file path=xl/comments4.xml><?xml version="1.0" encoding="utf-8"?>
<comments xmlns="http://schemas.openxmlformats.org/spreadsheetml/2006/main">
  <authors>
    <author>Administrator</author>
  </authors>
  <commentList>
    <comment ref="F3" authorId="0" shapeId="0">
      <text>
        <r>
          <rPr>
            <b/>
            <sz val="9"/>
            <rFont val="宋体"/>
            <family val="3"/>
            <charset val="134"/>
          </rPr>
          <t>Administrator:</t>
        </r>
        <r>
          <rPr>
            <sz val="9"/>
            <rFont val="宋体"/>
            <family val="3"/>
            <charset val="134"/>
          </rPr>
          <t xml:space="preserve">
印尼盾,企业提供汇率142800000
</t>
        </r>
      </text>
    </comment>
    <comment ref="F24" authorId="0" shapeId="0">
      <text>
        <r>
          <rPr>
            <b/>
            <sz val="9"/>
            <rFont val="宋体"/>
            <family val="3"/>
            <charset val="134"/>
          </rPr>
          <t>Administrator:</t>
        </r>
        <r>
          <rPr>
            <sz val="9"/>
            <rFont val="宋体"/>
            <family val="3"/>
            <charset val="134"/>
          </rPr>
          <t xml:space="preserve">
人民币
</t>
        </r>
      </text>
    </comment>
    <comment ref="F26" authorId="0" shapeId="0">
      <text>
        <r>
          <rPr>
            <b/>
            <sz val="9"/>
            <rFont val="宋体"/>
            <family val="3"/>
            <charset val="134"/>
          </rPr>
          <t>Administrator:</t>
        </r>
        <r>
          <rPr>
            <sz val="9"/>
            <rFont val="宋体"/>
            <family val="3"/>
            <charset val="134"/>
          </rPr>
          <t xml:space="preserve">
人民币
</t>
        </r>
      </text>
    </comment>
    <comment ref="F28" authorId="0" shapeId="0">
      <text>
        <r>
          <rPr>
            <b/>
            <sz val="9"/>
            <rFont val="宋体"/>
            <family val="3"/>
            <charset val="134"/>
          </rPr>
          <t>Administrator:</t>
        </r>
        <r>
          <rPr>
            <sz val="9"/>
            <rFont val="宋体"/>
            <family val="3"/>
            <charset val="134"/>
          </rPr>
          <t xml:space="preserve">
人民币</t>
        </r>
      </text>
    </comment>
  </commentList>
</comments>
</file>

<file path=xl/sharedStrings.xml><?xml version="1.0" encoding="utf-8"?>
<sst xmlns="http://schemas.openxmlformats.org/spreadsheetml/2006/main" count="13520" uniqueCount="3614">
  <si>
    <t>提升公共服务能力</t>
  </si>
  <si>
    <t>地市</t>
  </si>
  <si>
    <t>企业名称</t>
  </si>
  <si>
    <t>支持重点</t>
  </si>
  <si>
    <t>申报材料</t>
  </si>
  <si>
    <t>申领条件</t>
  </si>
  <si>
    <t>支持资金（2019年7月1日至2020年6月30日期间所发生的业务）</t>
  </si>
  <si>
    <t>申请表金额（万元）</t>
  </si>
  <si>
    <t>申请金额（万美元）</t>
  </si>
  <si>
    <t>核减</t>
  </si>
  <si>
    <t>核定金额</t>
  </si>
  <si>
    <t>申请金额</t>
  </si>
  <si>
    <t>备注</t>
  </si>
  <si>
    <t>联系方式</t>
  </si>
  <si>
    <t>支持国务院批准的服务贸易创新发展试点地区（以下简称试点地区）建设和维护服务贸易公共服务平台、中国服务外包示范城市（以下简称示范城市）建设和维护服务外包公共服务平台。支持经认定的国家文化出口基地（淄博市博山区）、数字服务出口基地（济南市齐鲁软件园）、中医药服务出口基地（山东中医药大学）完善相关公共服务。</t>
  </si>
  <si>
    <t>对试点地区和示范城市，综合考虑产业发展需要和上年度资金使用情况，安排相应资金，对公共服务平台在2019年7月1日到2020年6月30日发生的相关费用给予支持。试点地区、示范城市商务部门要根据《资金办法》和109号文件要求，制定具体实施细则，明确资金支持的比例标准，并于2021年1月31日前向省商务厅报送资金使用情况总结。</t>
  </si>
  <si>
    <t>对国家文化出口基地、数字服务出口基地、中医药服务出口基地，综合考虑各类基地特点和发展需要，安排相应资金，用于对基地在2019年7月1日到2020年6月30日发生的公共服务支出进行支持，或在2020年7月1日至2021年6月30日安排支出用于完善基地公共服务。对于拟在2020年7月1日后安排支出的项目，各基地要根据《资金办法》和109号文件规定的正面清单，制定具体实施细则，明确和细化资金用途，编制项目可行性研究报告、实施方案、项目预算，制定绩效目标，确保资金严格用于规定的支持范围之内，相关项目原则上应在一年内完成。各基地所在市商务部门要定期对项目实施情况进行跟踪问效，督促项目单位按进度推进项目实施，提高资金使用效率，并于2021年6月30日前向省商务厅报送项目实施及资金使用情况总结。</t>
  </si>
  <si>
    <t>二、重点服务进口</t>
  </si>
  <si>
    <t>地区</t>
  </si>
  <si>
    <t>申报材料（均需加盖企业公章）</t>
  </si>
  <si>
    <t>支持资金</t>
  </si>
  <si>
    <t>鼓励试点地区开展重点服务进口业务，进口国内急需的技术密集型、知识密集型服务，进口的服务应列入商务部、发展改革委、财政部、生态环境部、知识产权局发布的《鼓励进口服务目录》（2019版）</t>
  </si>
  <si>
    <t>2020年度外经贸发展专项资金（促进服务贸易创新发展事项）申请书申报说明（附件1）及电子版</t>
  </si>
  <si>
    <t>《2020年度服务进口贴息事项申请表》（附件2）及电子版</t>
  </si>
  <si>
    <t>企业法定代表人签字的申请文件，包括：企业基本情况、进口用途、预计可产生的效益等，企业更名的应说明相关情况并附证明材料</t>
  </si>
  <si>
    <t>企业营业执照（复印件）</t>
  </si>
  <si>
    <t>进口服务合同（复印件）</t>
  </si>
  <si>
    <t>银行出具的付汇凭证（复印件）</t>
  </si>
  <si>
    <t>企业应在试点地区（威海市）内注册，具有独立法人资格、正常经营，且符合《资金办法》第十一条所规定的基本条件</t>
  </si>
  <si>
    <t>进口的服务应列入商务部、发展改革委、财政部、生态环境部、知识产权局发布的《鼓励进口服务目录》（2019版）</t>
  </si>
  <si>
    <t>进口服务应当在2019年7月1日至2020年6月30日期间执行合同，并取得银行出具的进口服务付汇凭证，且付汇金额不低于50万美元</t>
  </si>
  <si>
    <r>
      <rPr>
        <sz val="11"/>
        <color theme="1"/>
        <rFont val="宋体"/>
        <family val="3"/>
        <charset val="134"/>
        <scheme val="minor"/>
      </rPr>
      <t>对符合重点服务进口申报条件的企业，其在2019年7月1日至2020年6月30日期间取得付汇凭证的服务进口业务，以服务进口的</t>
    </r>
    <r>
      <rPr>
        <sz val="11"/>
        <color rgb="FFFF0000"/>
        <rFont val="宋体"/>
        <family val="3"/>
        <charset val="134"/>
        <scheme val="minor"/>
      </rPr>
      <t>付汇金额</t>
    </r>
    <r>
      <rPr>
        <sz val="11"/>
        <color theme="1"/>
        <rFont val="宋体"/>
        <family val="3"/>
        <charset val="134"/>
        <scheme val="minor"/>
      </rPr>
      <t>（人民币金额）作为计算贴息的本金，按照不超过中国人民银行公布的2020年6月30日前最近一期人民币</t>
    </r>
    <r>
      <rPr>
        <sz val="11"/>
        <color rgb="FFFF0000"/>
        <rFont val="宋体"/>
        <family val="3"/>
        <charset val="134"/>
        <scheme val="minor"/>
      </rPr>
      <t>一年期贷款市场报价利率</t>
    </r>
    <r>
      <rPr>
        <sz val="11"/>
        <color theme="1"/>
        <rFont val="宋体"/>
        <family val="3"/>
        <charset val="134"/>
        <scheme val="minor"/>
      </rPr>
      <t>（LPR）给予贴息支持，每户企业贴息金额不超过500万元人民币</t>
    </r>
  </si>
  <si>
    <t>三、承接国际服务外包业务（服务外包培训机构）</t>
  </si>
  <si>
    <t>主要包括：①推动服务外包企业开展研发、设计、品牌建设、数字化转型，建立国际（离岸）接包中心和研发中心，取得国际通行的资质认证；②积极开拓国际市场，支持服务外包企业在“一带一路”市场推广中国标准和技术；③鼓励服务外包企业建立和完善培训体系，开展国际服务外包人才培训，培养引进国际化复合型人才；④鼓励培训机构（含大专院校）开展服务外包人才培训；⑤鼓励服务外包企业加快发展国际服务外包业务。</t>
  </si>
  <si>
    <t>2020年度外经贸发展专项资金（促进服务贸易创新发展事项）申请书申报说明（附件1）及电子版。</t>
  </si>
  <si>
    <t>《承接国际服务外包业务申请汇总表（服务外包培训机构）》（附件3）及电子版。</t>
  </si>
  <si>
    <t>《2020年人才培训支持事项申请明细表》（附件4）及电子版。</t>
  </si>
  <si>
    <t>培训机构营业执照（或从业资质）复印件。</t>
  </si>
  <si>
    <t>培训机构受服务外包企业委托开展培训的，需提供与委托企业签订的培训合同（协议）、培训发票或财务收支凭证；每期培训的培训方案和课程安排、学员签到表（应包括姓名、性别、身份证号、毕业院校、手机号码）、收费标准、培训费用预算和决算（或专项审计报告）等。</t>
  </si>
  <si>
    <t>培训机构自行培训的，需提供所培训人才与所录用服务外包企业签订的《劳动合同》，每期培训的培训方案和课程安排、学员签到表（应包括姓名、性别、身份证号、毕业院校、手机号码）、收费标准、培训费用预算和决算（或专项审计报告）、培训发票或财务收支凭证等。</t>
  </si>
  <si>
    <t xml:space="preserve"> 对培训机构在2019年7月1日至2020年6月30日期间，开展服务外包人才从业技能培训</t>
  </si>
  <si>
    <t>培训合格，服务外包人才被服务外包企业录用，并与服务外包企业签订《劳动合同》</t>
  </si>
  <si>
    <t>本条所指服务外包企业应是通过商务部“服务外包信息管理应用系统”填报《服务外包统计调查制度》规定报表的企业。</t>
  </si>
  <si>
    <t>资金支持标准为根据培训机构培训的服务外包人才能力（人数），每人补助500元人民币。</t>
  </si>
  <si>
    <r>
      <rPr>
        <sz val="20"/>
        <color theme="1"/>
        <rFont val="宋体"/>
        <family val="3"/>
        <charset val="134"/>
        <scheme val="minor"/>
      </rPr>
      <t>或是</t>
    </r>
    <r>
      <rPr>
        <sz val="11"/>
        <color theme="1"/>
        <rFont val="宋体"/>
        <family val="3"/>
        <charset val="134"/>
        <scheme val="minor"/>
      </rPr>
      <t>培训机构受服务外包企业委托，开展服务外包人才培训的，给予相应支持</t>
    </r>
  </si>
  <si>
    <t>承接国际服务外包业务（服务外包企业）</t>
  </si>
  <si>
    <t>企业名称（2019.7.1-2020.6.30）</t>
  </si>
  <si>
    <t>申请金额（万美元）USD:7.0795 EUR:7.961</t>
  </si>
  <si>
    <t>核定金额    （万元）</t>
  </si>
  <si>
    <t>承接国际服务外包业务指我国境内企业或其境外分支机构与境外客户签订服务外包合同，向境外客户提供国际（离岸）外包服务并取得收入的业务活动。支持的服务外包业务主要包括：①推动服务外包企业开展研发、设计、品牌建设、数字化转型，建立国际（离岸）接包中心和研发中心，取得国际通行的资质认证；②积极开拓国际市场，支持服务外包企业向“一带一路”市场推广中国技术和标准；③鼓励服务外包企业建立和完善培训体系，开展国际服务外包人才培训，培养引进国际化复合型人才；④鼓励培训机构（含大专院校）开展服务外包人才培训；⑤鼓励服务外包企业加快发展国际服务外包业务。</t>
  </si>
  <si>
    <t>①2020年度外经贸发展专项资金（促进服务贸易创新发展事项）申请书申报说明（附件1）（含电子版）</t>
  </si>
  <si>
    <t>②企业法定代表人签字的申请文件，包括:申请单位基本信息，服务外包业务发展情况，申请材料的真实性、合规性承诺书等。</t>
  </si>
  <si>
    <t>③申请企业、单位营业执照（或企业信用代码证）复印件。</t>
  </si>
  <si>
    <t>④企业与服务外包发包商签订的服务外包合同（复印件）。</t>
  </si>
  <si>
    <t>⑤经会计师事务所审计的财务审计报告（复印件）。</t>
  </si>
  <si>
    <t>⑥企业国际服务外包业务收入明细清单及证明材料，包括银行出具的收汇凭证（复印件）、涉外收入申报单（复印件）。承接跨国公司的国际服务外包业务，而由跨国公司境内机构代为支付的服务外包业务收入，须提供相关业务凭证复印件。</t>
  </si>
  <si>
    <t>其他资料</t>
  </si>
  <si>
    <t>（1）企业应具有独立法人资格，正常经营，诚信良好，且近三年来无严重违法违规行为，未拖欠应 缴还的财政性资金。</t>
  </si>
  <si>
    <t xml:space="preserve"> （2）企业应通过商务部“服务外包信息管理应用系统”如实填报商务部、国家统计局印发的《服务外包统计调查制度》规定的报表（业务范围详见附件13）。</t>
  </si>
  <si>
    <t>（3）企业已与服务外包发包商签订服务外包业务合同，以“服务外包信息管理应用系统”核准的离岸执行额为基本依据并且2019年7月1日至2020年6月30日期间的国际服务外包执行额不低于50万美元。</t>
  </si>
  <si>
    <r>
      <rPr>
        <sz val="12"/>
        <color rgb="FF000000"/>
        <rFont val="宋体"/>
        <family val="3"/>
        <charset val="134"/>
      </rPr>
      <t>（2）支持</t>
    </r>
    <r>
      <rPr>
        <sz val="12"/>
        <color rgb="FFFF0000"/>
        <rFont val="宋体"/>
        <family val="3"/>
        <charset val="134"/>
      </rPr>
      <t>企业人才培训。</t>
    </r>
    <r>
      <rPr>
        <sz val="12"/>
        <color rgb="FF000000"/>
        <rFont val="宋体"/>
        <family val="3"/>
        <charset val="134"/>
      </rPr>
      <t>对服务外包企业自2019年7月1日至2020年6月30日期间开展的服务外包人才培训给予支持。其中，服务外包企业委托培训机构开展培训的，根据培训实际发生费用给予支持，每人最高不超过4500元；对于特定服务外包企业在企业内部自行开展培训的，按每人4500元标准对新录用的大学（含大专，下同）2019年应届毕业生给予培训支持。</t>
    </r>
  </si>
  <si>
    <r>
      <rPr>
        <sz val="12"/>
        <color rgb="FF000000"/>
        <rFont val="宋体"/>
        <family val="3"/>
        <charset val="134"/>
      </rPr>
      <t>（3）支持</t>
    </r>
    <r>
      <rPr>
        <sz val="12"/>
        <color rgb="FFFF0000"/>
        <rFont val="宋体"/>
        <family val="3"/>
        <charset val="134"/>
      </rPr>
      <t>企业开拓国际市场。</t>
    </r>
    <r>
      <rPr>
        <sz val="12"/>
        <color rgb="FF000000"/>
        <rFont val="宋体"/>
        <family val="3"/>
        <charset val="134"/>
      </rPr>
      <t>对企业2019年7月1日至2020年6月30日参加涉及服务外包的境外峰会、博览会、展会、交易会、洽谈会、推介会等国际市场开拓活动所发生的展位费、布展费、场租费、广告宣传费、入场费等给予资金支持，支持比例不超过70%。对于2019年及2020年省（市）级资金和省商务厅境外百展市场开拓计划补贴过的项目，不得重复补贴。</t>
    </r>
  </si>
  <si>
    <r>
      <rPr>
        <sz val="12"/>
        <color theme="1"/>
        <rFont val="宋体"/>
        <family val="3"/>
        <charset val="134"/>
      </rPr>
      <t>（4）支持</t>
    </r>
    <r>
      <rPr>
        <sz val="12"/>
        <color rgb="FFFF0000"/>
        <rFont val="宋体"/>
        <family val="3"/>
        <charset val="134"/>
      </rPr>
      <t>企业品牌建设。</t>
    </r>
    <r>
      <rPr>
        <sz val="12"/>
        <color theme="1"/>
        <rFont val="宋体"/>
        <family val="3"/>
        <charset val="134"/>
      </rPr>
      <t>对获得省级行业机构认定的服务外包品牌给予不超过10万元奖励，获得全国性或国际性行业机构认定的服务外包品牌给予不超过30万元奖励。对在境外商标注册依据实际支出给予全额支持，最高不超过30万元。</t>
    </r>
  </si>
  <si>
    <r>
      <rPr>
        <sz val="12"/>
        <color theme="1"/>
        <rFont val="宋体"/>
        <family val="3"/>
        <charset val="134"/>
      </rPr>
      <t>（5）支持</t>
    </r>
    <r>
      <rPr>
        <sz val="12"/>
        <color rgb="FFFF0000"/>
        <rFont val="宋体"/>
        <family val="3"/>
        <charset val="134"/>
      </rPr>
      <t>企业获得技术研发创新奖项。</t>
    </r>
    <r>
      <rPr>
        <sz val="12"/>
        <color theme="1"/>
        <rFont val="宋体"/>
        <family val="3"/>
        <charset val="134"/>
      </rPr>
      <t>对获得省级服务外包研发创新技术奖项给予不超过10万元资金支持，获得国家级服务外包研发创新技术奖项给予不超过30万元资金支持。对企业在境外专利申请依据实际支出给予全额支持，最高不超过30万元。</t>
    </r>
  </si>
  <si>
    <r>
      <rPr>
        <sz val="12"/>
        <color theme="1"/>
        <rFont val="宋体"/>
        <family val="3"/>
        <charset val="134"/>
      </rPr>
      <t>（6）支持</t>
    </r>
    <r>
      <rPr>
        <sz val="12"/>
        <color rgb="FFFF0000"/>
        <rFont val="宋体"/>
        <family val="3"/>
        <charset val="134"/>
      </rPr>
      <t>企业国际（离岸）接包中心和研发中心。</t>
    </r>
    <r>
      <rPr>
        <sz val="12"/>
        <color theme="1"/>
        <rFont val="宋体"/>
        <family val="3"/>
        <charset val="134"/>
      </rPr>
      <t>对企业建立国际（离岸）接包中心或研发中心分别给予支持，每家企业最高不超过100万元。</t>
    </r>
  </si>
  <si>
    <r>
      <rPr>
        <sz val="12"/>
        <color theme="1"/>
        <rFont val="宋体"/>
        <family val="3"/>
        <charset val="134"/>
      </rPr>
      <t>①申报支持取得</t>
    </r>
    <r>
      <rPr>
        <sz val="12"/>
        <color rgb="FFFF0000"/>
        <rFont val="宋体"/>
        <family val="3"/>
        <charset val="134"/>
      </rPr>
      <t>国际通行资质认证及维护升级</t>
    </r>
    <r>
      <rPr>
        <sz val="12"/>
        <color theme="1"/>
        <rFont val="宋体"/>
        <family val="3"/>
        <charset val="134"/>
      </rPr>
      <t>。《承接国际服务外包业务申请表（取得国际通行资质认证及维护升级）》（附件5）。取得国际通行资质证书及与相关国际认证评估顾问公司签订的合同协议复印件；缴纳认证（含维护与升级）费用凭证的复印件，包括认证费用发票和相对应的银行出具的支付凭证。</t>
    </r>
  </si>
  <si>
    <r>
      <rPr>
        <sz val="12"/>
        <color theme="1"/>
        <rFont val="宋体"/>
        <family val="3"/>
        <charset val="134"/>
      </rPr>
      <t>②申报支持</t>
    </r>
    <r>
      <rPr>
        <sz val="12"/>
        <color rgb="FFFF0000"/>
        <rFont val="宋体"/>
        <family val="3"/>
        <charset val="134"/>
      </rPr>
      <t>企业人才培训</t>
    </r>
    <r>
      <rPr>
        <sz val="12"/>
        <color theme="1"/>
        <rFont val="宋体"/>
        <family val="3"/>
        <charset val="134"/>
      </rPr>
      <t>。填写《2020年人才培训支持事项申请明细表》（附件4）。服务外包企业委托培训机构开展培训的需提供：服务外包企业与培训机构签订的培训合同（协议）、培训发票或支出凭证，每期培训的培训方案和课程安排、学员签到表（姓名、性别、身份证号、毕业院校、手机号码）收费标准、培训费用预算和决算（或专项审计报告）。特定服务外包企业内部自行培训的需提供：每期培训的培训方案和课程安排、培训费用预算和决算（或专项审计报告）、学员签到表（姓名、性别、身份证号、毕业院校、手机号码）、被录用（培训）人员身份证复印件（正反页）、大学毕业证复印件、企业与培训人员签订的《劳动合同》、2019年7月1日入职后社会保险缴纳证明原件（由录用单位向当地社保部门索取并加盖社保部门印章）。</t>
    </r>
  </si>
  <si>
    <r>
      <rPr>
        <sz val="12"/>
        <color theme="1"/>
        <rFont val="宋体"/>
        <family val="3"/>
        <charset val="134"/>
      </rPr>
      <t>③申报支持</t>
    </r>
    <r>
      <rPr>
        <sz val="12"/>
        <color rgb="FFFF0000"/>
        <rFont val="宋体"/>
        <family val="3"/>
        <charset val="134"/>
      </rPr>
      <t>企业开拓国际市场</t>
    </r>
    <r>
      <rPr>
        <sz val="12"/>
        <color theme="1"/>
        <rFont val="宋体"/>
        <family val="3"/>
        <charset val="134"/>
      </rPr>
      <t>。《承接国际服务外包业务申请表（企业开拓国际市场）》（附件6）。参展（会）企业与境外活动主办方或组织方签订的合同复印件；支付参展（会）费的银行付款凭证及参展（会）费发票复印件。</t>
    </r>
  </si>
  <si>
    <r>
      <rPr>
        <sz val="12"/>
        <color theme="1"/>
        <rFont val="宋体"/>
        <family val="3"/>
        <charset val="134"/>
      </rPr>
      <t>④申报支持</t>
    </r>
    <r>
      <rPr>
        <sz val="12"/>
        <color rgb="FFFF0000"/>
        <rFont val="宋体"/>
        <family val="3"/>
        <charset val="134"/>
      </rPr>
      <t>企业品牌建设</t>
    </r>
    <r>
      <rPr>
        <sz val="12"/>
        <color theme="1"/>
        <rFont val="宋体"/>
        <family val="3"/>
        <charset val="134"/>
      </rPr>
      <t>。《承接国际服务外包业务申请表（企业品牌建设）》（附件7）。获得省级或全国性行业机构颁发的品牌获奖证明材料复印件；境外商标注册证书和费用支出凭证复印件。</t>
    </r>
  </si>
  <si>
    <r>
      <rPr>
        <sz val="12"/>
        <color theme="1"/>
        <rFont val="宋体"/>
        <family val="3"/>
        <charset val="134"/>
      </rPr>
      <t>⑤申报支持</t>
    </r>
    <r>
      <rPr>
        <sz val="12"/>
        <color rgb="FFFF0000"/>
        <rFont val="宋体"/>
        <family val="3"/>
        <charset val="134"/>
      </rPr>
      <t>企业技术研发创新奖项</t>
    </r>
    <r>
      <rPr>
        <sz val="12"/>
        <color theme="1"/>
        <rFont val="宋体"/>
        <family val="3"/>
        <charset val="134"/>
      </rPr>
      <t>。《承接国际服务外包业务申请表（企业技术研发创新奖项）》（附件8）。获得省级或国家级技术研发创新奖项证明材料复印件；境外专利申请证书及费用支出凭证复印件。</t>
    </r>
  </si>
  <si>
    <r>
      <rPr>
        <sz val="12"/>
        <color theme="1"/>
        <rFont val="宋体"/>
        <family val="3"/>
        <charset val="134"/>
      </rPr>
      <t>⑥申报支持</t>
    </r>
    <r>
      <rPr>
        <sz val="12"/>
        <color rgb="FFFF0000"/>
        <rFont val="宋体"/>
        <family val="3"/>
        <charset val="134"/>
      </rPr>
      <t>企业国际（离岸）接包中心和研发中心</t>
    </r>
    <r>
      <rPr>
        <sz val="12"/>
        <color theme="1"/>
        <rFont val="宋体"/>
        <family val="3"/>
        <charset val="134"/>
      </rPr>
      <t>。《承接国际服务外包业务申请表（企业国际（离岸）接包中心和研发中心）》（附件9）。建立国际（离岸）接包中心或研发中心的注册证明、出资证明、章程等相关材料和省商务厅出具的《企业境外投资证书》的复印件。境外场地证明文件复印件、境外开展业务的合同凭证复印件。</t>
    </r>
  </si>
  <si>
    <r>
      <rPr>
        <sz val="12"/>
        <color theme="1"/>
        <rFont val="宋体"/>
        <family val="3"/>
        <charset val="134"/>
      </rPr>
      <t>⑦申报鼓励</t>
    </r>
    <r>
      <rPr>
        <sz val="12"/>
        <color rgb="FFFF0000"/>
        <rFont val="宋体"/>
        <family val="3"/>
        <charset val="134"/>
      </rPr>
      <t>服务外包企业加快发展国际服务外包业务</t>
    </r>
    <r>
      <rPr>
        <sz val="12"/>
        <color theme="1"/>
        <rFont val="宋体"/>
        <family val="3"/>
        <charset val="134"/>
      </rPr>
      <t>。《承接国际服务外包业务申请表（服务外包企业加快发展国际服务外包业务）》（附件10）。此外，承接跨国公司的国际服务外包业务，而由跨国公司境内机构代为支付的服务外包业务收入，须提供公司关系证明材料、业务支付凭证等复印件，并提交不重复申报中央资金（促进服务贸易创新发展）项目承诺书。</t>
    </r>
  </si>
  <si>
    <t>烟台中集来福士海洋工程有限公司</t>
  </si>
  <si>
    <t>烟台</t>
  </si>
  <si>
    <t>支持取得国际通行资质认证及维护升级（8万）</t>
  </si>
  <si>
    <t>√</t>
  </si>
  <si>
    <t>无国际服务外包业务收入明细清单及证明材料，涉外收入申报单（复印件）</t>
  </si>
  <si>
    <t>质量管理体系要求、环境管理体系认证、职业健康安全管理体系认证、能源管理体系标准（8万）</t>
  </si>
  <si>
    <t>1、章不全                       2、收入明细清单及证明材料，涉外收入申报单（复印件）</t>
  </si>
  <si>
    <t xml:space="preserve">王洪波                       0535-6517693  18660095777                    </t>
  </si>
  <si>
    <t>鼓励服务外包企业加快发展国际服务外包业务（425万美元）</t>
  </si>
  <si>
    <t xml:space="preserve">1、章不全                       2、收入明细清单及证明材料，涉外收入申报单（复印件）       </t>
  </si>
  <si>
    <t xml:space="preserve">王洪波                      0535-6517693  18660095777                    </t>
  </si>
  <si>
    <t>山东泰开电力建设工程有限公司</t>
  </si>
  <si>
    <t>泰安</t>
  </si>
  <si>
    <t>鼓励服务外包企业加快发展国际服务外包业务</t>
  </si>
  <si>
    <t>章不全</t>
  </si>
  <si>
    <t>李传荣                      0538-8625668 13853866757</t>
  </si>
  <si>
    <t>山东元星电子有限公司</t>
  </si>
  <si>
    <t>淄博</t>
  </si>
  <si>
    <t>缺骑缝章</t>
  </si>
  <si>
    <t>刘敏                         0533-3816850 13589505819</t>
  </si>
  <si>
    <t>山东宝迪朗格健身器材有限公司</t>
  </si>
  <si>
    <t>类成超 
13792168878</t>
  </si>
  <si>
    <t>山东宏瀚国际贸易有限公司</t>
  </si>
  <si>
    <t>杨经理           0533-4591171 13853349218</t>
  </si>
  <si>
    <t>淄博海创国际贸易有限公司</t>
  </si>
  <si>
    <t>刘倩倩    15552429108</t>
  </si>
  <si>
    <t>支持企业人才培训</t>
  </si>
  <si>
    <t>支持企业开拓国际市场</t>
  </si>
  <si>
    <t>山东丽能电力技术股份有限公司</t>
  </si>
  <si>
    <t>支持取得国际通行资质认证及维护升级</t>
  </si>
  <si>
    <t>无涉外收入申报单（复印件）</t>
  </si>
  <si>
    <t>毕玉晶    13011616330</t>
  </si>
  <si>
    <t>支持企业品牌建设</t>
  </si>
  <si>
    <t>支持企业获得技术研发创新奖项</t>
  </si>
  <si>
    <t>山东齐芯微系统科技股份有限公司</t>
  </si>
  <si>
    <t>杨丽欣                      0533-3581599 13964401070</t>
  </si>
  <si>
    <t>淄博锦轩轻工制品有限公司</t>
  </si>
  <si>
    <t>韩信      13864304834</t>
  </si>
  <si>
    <t>淄博美林电子有限公司</t>
  </si>
  <si>
    <t>李安      13969382886</t>
  </si>
  <si>
    <t>山东泰展机电科技股份有限公司</t>
  </si>
  <si>
    <t>吴强      18560292109</t>
  </si>
  <si>
    <t>淄博金田轻工制品有限公司</t>
  </si>
  <si>
    <t xml:space="preserve">   任娟         17663018812</t>
  </si>
  <si>
    <t>合同对方没签名和章印</t>
  </si>
  <si>
    <t>山东卓创资讯股份有限公司</t>
  </si>
  <si>
    <t>缺涉外申报单</t>
  </si>
  <si>
    <t xml:space="preserve">陈颖      15653330007 </t>
  </si>
  <si>
    <t>瑞阳制药有限公司</t>
  </si>
  <si>
    <t>史秀刚    13792165980</t>
  </si>
  <si>
    <t>淄博银仕来纺织有限公司</t>
  </si>
  <si>
    <t>只有涉外申报列表，没有涉外申报单</t>
  </si>
  <si>
    <t xml:space="preserve"> 陈东梅    14706431202</t>
  </si>
  <si>
    <t>山东中天科技工程有限公司</t>
  </si>
  <si>
    <t>侯立娜    15853356979</t>
  </si>
  <si>
    <t>山东瑞丰高分子材料股份有限公司</t>
  </si>
  <si>
    <t xml:space="preserve"> 巩娜      13953397268</t>
  </si>
  <si>
    <t>济南</t>
  </si>
  <si>
    <t>于琪 18560187907</t>
  </si>
  <si>
    <t>王云霞 15054171833</t>
  </si>
  <si>
    <t>山东金池重工股份有限公司</t>
  </si>
  <si>
    <t>曹长征 15634085686</t>
  </si>
  <si>
    <t>威海</t>
  </si>
  <si>
    <t>林乐燕 13465245851</t>
  </si>
  <si>
    <t>浪潮天元通信信息系统有限公司</t>
  </si>
  <si>
    <t>王慧清 17605315372</t>
  </si>
  <si>
    <t>济南利达智通信息技术有限公司</t>
  </si>
  <si>
    <t>庞瑞 18654547913</t>
  </si>
  <si>
    <t>李鑫洁 19863657095</t>
  </si>
  <si>
    <t>济南河流道网络科技有限公司</t>
  </si>
  <si>
    <t>李风燕 13306410488</t>
  </si>
  <si>
    <t>冯承敏 15866628626</t>
  </si>
  <si>
    <t>王育生 13646412097</t>
  </si>
  <si>
    <t>山东诚信工程建设监理有限公司</t>
  </si>
  <si>
    <t>孙倩 18615669622</t>
  </si>
  <si>
    <t>亿帆环球科技（济南）有限公司</t>
  </si>
  <si>
    <t>李振霞 18653114181</t>
  </si>
  <si>
    <t xml:space="preserve"> 李娜   15288860753</t>
  </si>
  <si>
    <t>刘鹏  18265310723</t>
  </si>
  <si>
    <t>山东力诺光伏高科技有限公司</t>
  </si>
  <si>
    <t>华熙生物科技股份有限公司</t>
  </si>
  <si>
    <t>徐克峰 15665828285</t>
  </si>
  <si>
    <t>东方电子股份有限公司</t>
  </si>
  <si>
    <t>邓晓峰  13905354203</t>
  </si>
  <si>
    <t>王建超  13905314803</t>
  </si>
  <si>
    <t>技术出口业务</t>
  </si>
  <si>
    <t>汇率：USD7.0795</t>
  </si>
  <si>
    <t>申请金额（美元）</t>
  </si>
  <si>
    <t>鼓励企业通过贸易、投资或经济技术合作方式向境外实施的专利权转让、专利申请权转让、专利实施许可、专有技术转让或许可等技术转移，以及技术转让或许可合同项下提供的技术服务。不包括《中国禁止出口限制出口技术目录》（商务部、科技部令2008第12号）所列的出口技术。</t>
  </si>
  <si>
    <t>《企业技术出口贴息申请表》（附件11）及电子版</t>
  </si>
  <si>
    <t>技术出口合同（复印件）</t>
  </si>
  <si>
    <t>技术出口合同登记证书和技术出口合同数据表（复印件）</t>
  </si>
  <si>
    <t>银行出具的收汇凭证(复印件)</t>
  </si>
  <si>
    <t>涉外收入申报单（复印件）</t>
  </si>
  <si>
    <t>经会计师事务所审计的企业财务会计报告（复印件）等。</t>
  </si>
  <si>
    <t>涉及专利权转让的单位需提供著录项目变更手续合格通知书（复印件）</t>
  </si>
  <si>
    <t>其他有关材料</t>
  </si>
  <si>
    <t>根据《中华人民共和国技术进出口管理条例》（国务院令第331号），已在商务部“服务贸易统计监测管理信息系统（技术贸易管理信息应用）”中登记2019年7月1日至2020年6月30日期间的实际出口额</t>
  </si>
  <si>
    <t>出口的技术应当在2019年7月1日至2020年6月30日期间取得银行出具的收汇凭证，且企业的技术出口收汇额不低于50万美元</t>
  </si>
  <si>
    <t>对企业在2019年7月1日至2020年6月30日期间取得收汇凭证的技术出口业务，以技术出口的收汇金额（人民币金额）作为计算贴息的本金，按照不超过中国人民银行公布的2020年6月30日前最近一期人民币一年期贷款市场报价利率（LPR）给予贴息支持。每户企业支持金额原则上不超过500万元人民币</t>
  </si>
  <si>
    <t>聊城</t>
  </si>
  <si>
    <t>阳谷祥光铜业有限公司</t>
  </si>
  <si>
    <t>侯典季      0635-7136034 18806356132</t>
  </si>
  <si>
    <t>陈贵君      0535-6955529 15866355671</t>
  </si>
  <si>
    <t>山东富海技术服务有限公司</t>
  </si>
  <si>
    <t xml:space="preserve">孙金栋 13371580305
</t>
  </si>
  <si>
    <t>星科技术转移咨询(山东)有限责任公司</t>
  </si>
  <si>
    <t>徐有睿 13396438586</t>
  </si>
  <si>
    <t>序号</t>
  </si>
  <si>
    <t>支持取得国际通行资质认证及维护升级（元）</t>
  </si>
  <si>
    <t>合计</t>
  </si>
  <si>
    <t>鼓励服务外包企业加快发展国际服务外包业务（美元）</t>
  </si>
  <si>
    <t>370600000302200513N004</t>
  </si>
  <si>
    <t>元</t>
  </si>
  <si>
    <t>ドール</t>
  </si>
  <si>
    <t>收汇回单</t>
  </si>
  <si>
    <t>签约年月</t>
  </si>
  <si>
    <t>据点</t>
  </si>
  <si>
    <t>合同号</t>
  </si>
  <si>
    <t>合同名</t>
  </si>
  <si>
    <t>合同金额
(元)</t>
  </si>
  <si>
    <t>合同金额
(万美元)</t>
  </si>
  <si>
    <t>コメント</t>
  </si>
  <si>
    <t>合計(元)</t>
  </si>
  <si>
    <t>业务识别号</t>
  </si>
  <si>
    <t>合計（元）</t>
  </si>
  <si>
    <t>煙台</t>
  </si>
  <si>
    <t>1804-915001-Y</t>
  </si>
  <si>
    <t>超市智能管理系统</t>
  </si>
  <si>
    <t>TRIAL</t>
  </si>
  <si>
    <t>2019081303869564</t>
  </si>
  <si>
    <t>1807-915001-Y</t>
  </si>
  <si>
    <t>智能考勤管理系统</t>
  </si>
  <si>
    <t>1809-915001-Y</t>
  </si>
  <si>
    <t>智能在线订货系统</t>
  </si>
  <si>
    <t>2019071003783358</t>
  </si>
  <si>
    <t>2019091003945653</t>
  </si>
  <si>
    <t>2019101004018538</t>
  </si>
  <si>
    <t>1811-915001-Y</t>
  </si>
  <si>
    <t>智能仓储管理系统</t>
  </si>
  <si>
    <t>1901-915001-Y</t>
  </si>
  <si>
    <t>费用管理系统</t>
  </si>
  <si>
    <t>2019111104107162</t>
  </si>
  <si>
    <t>2019121004255482</t>
  </si>
  <si>
    <t>2020011004424378</t>
  </si>
  <si>
    <t>2020021004527784</t>
  </si>
  <si>
    <t>1902-915001-Y</t>
  </si>
  <si>
    <t>印西物流中心管理系统</t>
  </si>
  <si>
    <t>1903-915001-Y</t>
  </si>
  <si>
    <t>MD-LINK谷歌云项目</t>
  </si>
  <si>
    <t>1904-915001-Y</t>
  </si>
  <si>
    <t>店铺监查系统</t>
  </si>
  <si>
    <t>2020031004633081</t>
  </si>
  <si>
    <t>2020041004761240</t>
  </si>
  <si>
    <t>1905-915001-Y</t>
  </si>
  <si>
    <t>智慧办公管理系统</t>
  </si>
  <si>
    <t>1906-915001-Y</t>
  </si>
  <si>
    <t>基干微服务系统架构</t>
  </si>
  <si>
    <t>1907-915001-Y</t>
  </si>
  <si>
    <t>人力成本管控系统</t>
  </si>
  <si>
    <t>1908-915001-Y</t>
  </si>
  <si>
    <t>智能新零售服务平台</t>
  </si>
  <si>
    <t>1909-915001-Y</t>
  </si>
  <si>
    <t>生鲜商品新零售平台</t>
  </si>
  <si>
    <t>1910-915001-Y</t>
  </si>
  <si>
    <t>网上预约订餐系统</t>
  </si>
  <si>
    <t>1911-915001-Y</t>
  </si>
  <si>
    <t>生鲜大数据一体化管理平台</t>
  </si>
  <si>
    <t>1911-915005-Y</t>
  </si>
  <si>
    <t>客户关系管理系统</t>
  </si>
  <si>
    <t>RetailSHIFT</t>
  </si>
  <si>
    <t>2020011600304555</t>
  </si>
  <si>
    <t>2020022500311898</t>
  </si>
  <si>
    <t>2020032600318430</t>
  </si>
  <si>
    <t>2020042400324412</t>
  </si>
  <si>
    <t>1911-915004-Y</t>
  </si>
  <si>
    <t>智慧图像采集系统</t>
  </si>
  <si>
    <t>RetailAI Lab</t>
  </si>
  <si>
    <t>2020011600304561</t>
  </si>
  <si>
    <t>2020021400309525</t>
  </si>
  <si>
    <t>1910-915004-Y</t>
  </si>
  <si>
    <t>快速结算系统</t>
  </si>
  <si>
    <t>2019123000301156</t>
  </si>
  <si>
    <t>1909-915004-Y</t>
  </si>
  <si>
    <t>智能购物系统</t>
  </si>
  <si>
    <t>1912-915001-Y</t>
  </si>
  <si>
    <t>电子消费券管理系统</t>
  </si>
  <si>
    <t>1912-916001-Y</t>
  </si>
  <si>
    <t>会员卡管理系统</t>
  </si>
  <si>
    <t>2001-915001-Y</t>
  </si>
  <si>
    <t>零售新媒体管理平台</t>
  </si>
  <si>
    <t>2020051104883733</t>
  </si>
  <si>
    <t>2020061005019314</t>
  </si>
  <si>
    <t>2002-915001-Y</t>
  </si>
  <si>
    <t>新零售顾客大数据平台</t>
  </si>
  <si>
    <t>2002-916002-Y</t>
  </si>
  <si>
    <t>会员营销管理系统</t>
  </si>
  <si>
    <t>2020051800334927</t>
  </si>
  <si>
    <t>2020061600344604</t>
  </si>
  <si>
    <t>2003-915001-Y</t>
  </si>
  <si>
    <t>快速考勤管理系统</t>
  </si>
  <si>
    <t>2003-915004-Y</t>
  </si>
  <si>
    <t>智慧零售可视化管理系统</t>
  </si>
  <si>
    <t>2020041700322916</t>
  </si>
  <si>
    <t>2020051800334903</t>
  </si>
  <si>
    <t>2004-915001-Y</t>
  </si>
  <si>
    <t>销售数据共享平台</t>
  </si>
  <si>
    <t>2004-916002-Y</t>
  </si>
  <si>
    <t>顾客资料管理系统</t>
  </si>
  <si>
    <t>2004-917001-Y</t>
  </si>
  <si>
    <t>智能视觉监测与定位系统</t>
  </si>
  <si>
    <t>2020061600344597</t>
  </si>
  <si>
    <t>2004-917002-Y</t>
  </si>
  <si>
    <t>缺货自动检测系统</t>
  </si>
  <si>
    <t>非技术出口业务</t>
  </si>
  <si>
    <r>
      <rPr>
        <sz val="11"/>
        <rFont val="ＭＳ Ｐゴシック"/>
        <family val="2"/>
      </rPr>
      <t>技</t>
    </r>
    <r>
      <rPr>
        <sz val="11"/>
        <rFont val="宋体"/>
        <family val="3"/>
        <charset val="134"/>
      </rPr>
      <t>术</t>
    </r>
    <r>
      <rPr>
        <sz val="11"/>
        <rFont val="ＭＳ Ｐゴシック"/>
        <family val="2"/>
      </rPr>
      <t>出口</t>
    </r>
    <r>
      <rPr>
        <sz val="11"/>
        <rFont val="宋体"/>
        <family val="3"/>
        <charset val="134"/>
      </rPr>
      <t>额</t>
    </r>
  </si>
  <si>
    <r>
      <rPr>
        <sz val="11"/>
        <rFont val="ＭＳ Ｐゴシック"/>
        <family val="2"/>
      </rPr>
      <t>非技</t>
    </r>
    <r>
      <rPr>
        <sz val="11"/>
        <rFont val="宋体"/>
        <family val="3"/>
        <charset val="134"/>
      </rPr>
      <t>术</t>
    </r>
    <r>
      <rPr>
        <sz val="11"/>
        <rFont val="ＭＳ Ｐゴシック"/>
        <family val="2"/>
      </rPr>
      <t>出口</t>
    </r>
    <r>
      <rPr>
        <sz val="11"/>
        <rFont val="宋体"/>
        <family val="3"/>
        <charset val="134"/>
      </rPr>
      <t>额</t>
    </r>
  </si>
  <si>
    <t>收汇金额</t>
  </si>
  <si>
    <t>19USSDZYE33XGTY/D2019-1217</t>
  </si>
  <si>
    <t>703万元</t>
  </si>
  <si>
    <t>金额</t>
  </si>
  <si>
    <t>服务外包合同</t>
  </si>
  <si>
    <t>DJ-100218</t>
  </si>
  <si>
    <t>科特迪瓦世行三期LOT3 Bongo变电站项目</t>
  </si>
  <si>
    <t>USD</t>
  </si>
  <si>
    <t>DJ-100118</t>
  </si>
  <si>
    <t>科特迪瓦世行三期LOT2 KA变电站项目</t>
  </si>
  <si>
    <t>DJ-050220</t>
  </si>
  <si>
    <t>莫桑比克PERIP LOT3项目</t>
  </si>
  <si>
    <t>DJ-070518</t>
  </si>
  <si>
    <t>莫桑比克110KV Vilanculos变电站项目</t>
  </si>
  <si>
    <t>SEK</t>
  </si>
  <si>
    <t>DJ-070419</t>
  </si>
  <si>
    <t>莫桑比克66kV Beluluan配网总包项目</t>
  </si>
  <si>
    <t>EUR</t>
  </si>
  <si>
    <t>DJ-070118</t>
  </si>
  <si>
    <t>津巴布韦Harava线路项目</t>
  </si>
  <si>
    <t>DJ-060219</t>
  </si>
  <si>
    <t>津巴布韦HARAVA输电项目增补合同</t>
  </si>
  <si>
    <t>CNY</t>
  </si>
  <si>
    <t>DJ-010117</t>
  </si>
  <si>
    <t>约旦60/2015项目（约旦AKX项目）</t>
  </si>
  <si>
    <t>DJ-080115-1</t>
  </si>
  <si>
    <t>坦桑MS增补项目</t>
  </si>
  <si>
    <t>DJ-080115</t>
  </si>
  <si>
    <t>坦桑MAKAMBAKO andSONGE变电站项目（坦桑MS项目）</t>
  </si>
  <si>
    <t>DJ-070215</t>
  </si>
  <si>
    <t>乌干达NH项目</t>
  </si>
  <si>
    <t>DJ-050419</t>
  </si>
  <si>
    <t>几内亚世行llOkV Kisosso变电站项目</t>
  </si>
  <si>
    <t>DJ-010216</t>
  </si>
  <si>
    <t>肯尼亚KT项目</t>
  </si>
  <si>
    <t>DJ-010219</t>
  </si>
  <si>
    <t>卢旺达RUSUMO 220/30kV变电站</t>
  </si>
  <si>
    <t>DJ-050718</t>
  </si>
  <si>
    <t>赞比亚卢萨卡机场变电站项目</t>
  </si>
  <si>
    <r>
      <rPr>
        <sz val="13"/>
        <rFont val="宋体"/>
        <family val="3"/>
        <charset val="134"/>
      </rPr>
      <t>企业</t>
    </r>
    <r>
      <rPr>
        <sz val="13"/>
        <rFont val="MingLiU"/>
        <charset val="134"/>
      </rPr>
      <t xml:space="preserve">              
</t>
    </r>
    <r>
      <rPr>
        <sz val="13"/>
        <rFont val="宋体"/>
        <family val="3"/>
        <charset val="134"/>
      </rPr>
      <t>名称</t>
    </r>
  </si>
  <si>
    <r>
      <rPr>
        <sz val="13"/>
        <rFont val="MingLiU"/>
        <charset val="134"/>
      </rPr>
      <t>离岸服务外包业务情况</t>
    </r>
  </si>
  <si>
    <r>
      <rPr>
        <sz val="13"/>
        <rFont val="MingLiU"/>
        <charset val="134"/>
      </rPr>
      <t>备注</t>
    </r>
  </si>
  <si>
    <r>
      <rPr>
        <sz val="13"/>
        <rFont val="宋体"/>
        <family val="3"/>
        <charset val="134"/>
      </rPr>
      <t>合同</t>
    </r>
    <r>
      <rPr>
        <sz val="13"/>
        <rFont val="MingLiU"/>
        <charset val="134"/>
      </rPr>
      <t xml:space="preserve">       </t>
    </r>
    <r>
      <rPr>
        <sz val="13"/>
        <rFont val="宋体"/>
        <family val="3"/>
        <charset val="134"/>
      </rPr>
      <t>（协</t>
    </r>
    <r>
      <rPr>
        <sz val="13"/>
        <rFont val="MingLiU"/>
        <charset val="134"/>
      </rPr>
      <t xml:space="preserve"> </t>
    </r>
    <r>
      <rPr>
        <sz val="13"/>
        <rFont val="宋体"/>
        <family val="3"/>
        <charset val="134"/>
      </rPr>
      <t>议）号</t>
    </r>
  </si>
  <si>
    <t>发包商名称</t>
  </si>
  <si>
    <r>
      <rPr>
        <sz val="13"/>
        <rFont val="宋体"/>
        <family val="3"/>
        <charset val="134"/>
      </rPr>
      <t>发包商</t>
    </r>
    <r>
      <rPr>
        <sz val="13"/>
        <rFont val="MingLiU"/>
        <charset val="134"/>
      </rPr>
      <t xml:space="preserve">     </t>
    </r>
    <r>
      <rPr>
        <sz val="13"/>
        <rFont val="宋体"/>
        <family val="3"/>
        <charset val="134"/>
      </rPr>
      <t>国别</t>
    </r>
  </si>
  <si>
    <r>
      <rPr>
        <sz val="13"/>
        <rFont val="MingLiU"/>
        <charset val="134"/>
      </rPr>
      <t xml:space="preserve">收汇金额 </t>
    </r>
    <r>
      <rPr>
        <sz val="14"/>
        <rFont val="Times New Roman"/>
        <family val="1"/>
      </rPr>
      <t xml:space="preserve">2019. 7. 1- 2020. 6. </t>
    </r>
    <r>
      <rPr>
        <sz val="14"/>
        <rFont val="Times New Roman"/>
        <family val="1"/>
      </rPr>
      <t xml:space="preserve">30 </t>
    </r>
    <r>
      <rPr>
        <sz val="13"/>
        <rFont val="MingLiU"/>
        <charset val="134"/>
      </rPr>
      <t>（美元）</t>
    </r>
  </si>
  <si>
    <r>
      <rPr>
        <sz val="12"/>
        <rFont val="MingLiU"/>
        <charset val="134"/>
      </rPr>
      <t>山东元星电子有限公司</t>
    </r>
  </si>
  <si>
    <r>
      <rPr>
        <sz val="10"/>
        <rFont val="Arial"/>
        <family val="2"/>
      </rPr>
      <t>1901-TI</t>
    </r>
  </si>
  <si>
    <r>
      <rPr>
        <sz val="10"/>
        <rFont val="Arial"/>
        <family val="2"/>
      </rPr>
      <t>T.I. Chen Associates LLC.</t>
    </r>
  </si>
  <si>
    <r>
      <rPr>
        <sz val="12"/>
        <rFont val="MingLiU"/>
        <charset val="134"/>
      </rPr>
      <t>美国</t>
    </r>
  </si>
  <si>
    <r>
      <rPr>
        <sz val="12"/>
        <rFont val="MingLiU"/>
        <charset val="134"/>
      </rPr>
      <t>一笔收汇</t>
    </r>
  </si>
  <si>
    <r>
      <rPr>
        <sz val="10"/>
        <rFont val="Arial"/>
        <family val="2"/>
      </rPr>
      <t>1902-TI</t>
    </r>
  </si>
  <si>
    <r>
      <rPr>
        <sz val="10"/>
        <rFont val="Arial"/>
        <family val="2"/>
      </rPr>
      <t>T.L Chen Associates LLC.</t>
    </r>
  </si>
  <si>
    <r>
      <rPr>
        <sz val="10"/>
        <rFont val="Arial"/>
        <family val="2"/>
      </rPr>
      <t>1903-TI</t>
    </r>
  </si>
  <si>
    <r>
      <rPr>
        <sz val="10"/>
        <rFont val="Arial"/>
        <family val="2"/>
      </rPr>
      <t>1904-TI</t>
    </r>
  </si>
  <si>
    <r>
      <rPr>
        <sz val="10"/>
        <rFont val="Arial"/>
        <family val="2"/>
      </rPr>
      <t>1905-TI</t>
    </r>
  </si>
  <si>
    <r>
      <rPr>
        <sz val="10"/>
        <rFont val="Arial"/>
        <family val="2"/>
      </rPr>
      <t>1906-TI</t>
    </r>
  </si>
  <si>
    <r>
      <rPr>
        <sz val="12"/>
        <rFont val="MingLiU"/>
        <charset val="134"/>
      </rPr>
      <t>三笔收汇</t>
    </r>
  </si>
  <si>
    <r>
      <rPr>
        <sz val="10"/>
        <rFont val="Arial"/>
        <family val="2"/>
      </rPr>
      <t>2001-TI</t>
    </r>
  </si>
  <si>
    <r>
      <rPr>
        <sz val="10"/>
        <rFont val="Arial"/>
        <family val="2"/>
      </rPr>
      <t>SCH1901</t>
    </r>
  </si>
  <si>
    <r>
      <rPr>
        <sz val="10"/>
        <rFont val="Arial"/>
        <family val="2"/>
      </rPr>
      <t>SCHNEIDER ELECTRIC IT BUSINESS INDIA PRIVATE LIMITED</t>
    </r>
  </si>
  <si>
    <r>
      <rPr>
        <sz val="12"/>
        <rFont val="MingLiU"/>
        <charset val="134"/>
      </rPr>
      <t>印度</t>
    </r>
  </si>
  <si>
    <r>
      <rPr>
        <sz val="12"/>
        <rFont val="MingLiU"/>
        <charset val="134"/>
      </rPr>
      <t>四笔收汇</t>
    </r>
  </si>
  <si>
    <r>
      <rPr>
        <sz val="10"/>
        <rFont val="Arial"/>
        <family val="2"/>
      </rPr>
      <t>SCH1902</t>
    </r>
  </si>
  <si>
    <r>
      <rPr>
        <sz val="12"/>
        <rFont val="MingLiU"/>
        <charset val="134"/>
      </rPr>
      <t>五笔收汇</t>
    </r>
  </si>
  <si>
    <r>
      <rPr>
        <sz val="10"/>
        <rFont val="Arial"/>
        <family val="2"/>
      </rPr>
      <t>LU1901</t>
    </r>
  </si>
  <si>
    <r>
      <rPr>
        <sz val="10"/>
        <rFont val="Arial"/>
        <family val="2"/>
      </rPr>
      <t>Luminous Power Technologies Pvt. Ltd</t>
    </r>
  </si>
  <si>
    <r>
      <rPr>
        <sz val="10"/>
        <rFont val="Arial"/>
        <family val="2"/>
      </rPr>
      <t>LU1902</t>
    </r>
  </si>
  <si>
    <r>
      <rPr>
        <sz val="10"/>
        <rFont val="Arial"/>
        <family val="2"/>
      </rPr>
      <t>Luminous Power Tech no log</t>
    </r>
    <r>
      <rPr>
        <sz val="13"/>
        <rFont val="MingLiU"/>
        <charset val="134"/>
      </rPr>
      <t>緜</t>
    </r>
    <r>
      <rPr>
        <sz val="10"/>
        <rFont val="Arial"/>
        <family val="2"/>
      </rPr>
      <t>RvMM</t>
    </r>
  </si>
  <si>
    <r>
      <rPr>
        <sz val="10"/>
        <rFont val="Arial"/>
        <family val="2"/>
      </rPr>
      <t>IN1901-SI</t>
    </r>
  </si>
  <si>
    <r>
      <rPr>
        <sz val="10"/>
        <rFont val="Arial"/>
        <family val="2"/>
      </rPr>
      <t>Siemens Ltd IC-SG-EA</t>
    </r>
  </si>
  <si>
    <r>
      <rPr>
        <sz val="12"/>
        <rFont val="MingLiU"/>
        <charset val="134"/>
      </rPr>
      <t>两笔收汇</t>
    </r>
  </si>
  <si>
    <r>
      <rPr>
        <sz val="10"/>
        <rFont val="Arial"/>
        <family val="2"/>
      </rPr>
      <t>IN1902-SI</t>
    </r>
  </si>
  <si>
    <r>
      <rPr>
        <sz val="10"/>
        <rFont val="Arial"/>
        <family val="2"/>
      </rPr>
      <t>1901-LB</t>
    </r>
  </si>
  <si>
    <r>
      <rPr>
        <sz val="10"/>
        <rFont val="Arial"/>
        <family val="2"/>
      </rPr>
      <t>Livguard Batteries Pvt Ltd</t>
    </r>
  </si>
  <si>
    <r>
      <rPr>
        <sz val="13"/>
        <rFont val="MingLiU"/>
        <charset val="134"/>
      </rPr>
      <t>合计</t>
    </r>
  </si>
  <si>
    <t>离岸服务外包业务情况</t>
  </si>
  <si>
    <t>备注（合同金额的30%）</t>
  </si>
  <si>
    <t>合同（协议）号</t>
  </si>
  <si>
    <t>发包商国别</t>
  </si>
  <si>
    <t>收汇金额     （万美元）</t>
  </si>
  <si>
    <t>山东宝迪朗格健 身器材有限公司</t>
  </si>
  <si>
    <t>S0EXP0001842</t>
  </si>
  <si>
    <t>澳大利亚</t>
  </si>
  <si>
    <t>SOEXP0001898</t>
  </si>
  <si>
    <t>S0EXP0001901</t>
  </si>
  <si>
    <t>SOEXP0001935</t>
  </si>
  <si>
    <t>S0EXP0001957</t>
  </si>
  <si>
    <t>SOEXP0001971</t>
  </si>
  <si>
    <t>TRF00010882</t>
  </si>
  <si>
    <t>TRF00010896</t>
  </si>
  <si>
    <t>TRF00010983</t>
  </si>
  <si>
    <t>TRF00011004</t>
  </si>
  <si>
    <t>WX19-0214-025</t>
  </si>
  <si>
    <t>德国</t>
  </si>
  <si>
    <t>WX19-0307-032</t>
  </si>
  <si>
    <t>WX19-0402-047</t>
  </si>
  <si>
    <t>WX19-0418-055</t>
  </si>
  <si>
    <t>加拿大</t>
  </si>
  <si>
    <t>WX19-0418-066</t>
  </si>
  <si>
    <t>阿尔及利亚</t>
  </si>
  <si>
    <t>WX19-0419-051</t>
  </si>
  <si>
    <t>台湾</t>
  </si>
  <si>
    <t>WX19-0426-057</t>
  </si>
  <si>
    <t>WX19-0502-058</t>
  </si>
  <si>
    <t>韩国</t>
  </si>
  <si>
    <t>WX19-0503-062</t>
  </si>
  <si>
    <t>斯里兰卡</t>
  </si>
  <si>
    <t>WX19-0504-063</t>
  </si>
  <si>
    <t>俄罗斯</t>
  </si>
  <si>
    <t>WX19-0528-071</t>
  </si>
  <si>
    <t>WX19-0601-082</t>
  </si>
  <si>
    <t>WX19-0610-086</t>
  </si>
  <si>
    <t>WX19-0612-088</t>
  </si>
  <si>
    <t>WX19-0615-089</t>
  </si>
  <si>
    <t>WX19-0617-090</t>
  </si>
  <si>
    <t>WX19-0617-091</t>
  </si>
  <si>
    <t>泰國</t>
  </si>
  <si>
    <t>WX19-0627-097</t>
  </si>
  <si>
    <t>WX19-0701-099</t>
  </si>
  <si>
    <t>WX19-0704-101</t>
  </si>
  <si>
    <t>WX19-0709-105</t>
  </si>
  <si>
    <t>泰国</t>
  </si>
  <si>
    <t>WX19-0712-107</t>
  </si>
  <si>
    <t>WX19-0722-112</t>
  </si>
  <si>
    <t>英国</t>
  </si>
  <si>
    <t>WX19-0724-111</t>
  </si>
  <si>
    <t>WX19-0724-114</t>
  </si>
  <si>
    <t>WX19-0728-130</t>
  </si>
  <si>
    <t>WX19-0802-117</t>
  </si>
  <si>
    <t>WX19-0802-118</t>
  </si>
  <si>
    <t>WX19-0807-122</t>
  </si>
  <si>
    <t>WX19-0814-131</t>
  </si>
  <si>
    <t>WX19-0821-136</t>
  </si>
  <si>
    <t>土耳其</t>
  </si>
  <si>
    <t>WX19-0902-143</t>
  </si>
  <si>
    <t>WX19-0911-147</t>
  </si>
  <si>
    <t>WX19-0911-149</t>
  </si>
  <si>
    <t>WX19-0912-150</t>
  </si>
  <si>
    <t>WX19-0919-154</t>
  </si>
  <si>
    <t>WX19-0924-155</t>
  </si>
  <si>
    <t>WX19-0924-156</t>
  </si>
  <si>
    <t>WX19-1008-167</t>
  </si>
  <si>
    <t>WX19-1008-168</t>
  </si>
  <si>
    <t>WX19-1010-171</t>
  </si>
  <si>
    <t>WX19-1011-173</t>
  </si>
  <si>
    <t>WX19-1016-176</t>
  </si>
  <si>
    <t>WX19-1023-180</t>
  </si>
  <si>
    <t>WX19-1031-184-3</t>
  </si>
  <si>
    <t>WX19-1031-186</t>
  </si>
  <si>
    <t>WX19-1101-187</t>
  </si>
  <si>
    <t>WX19-1118-193</t>
  </si>
  <si>
    <t>意大利</t>
  </si>
  <si>
    <t>WX19-1203-196</t>
  </si>
  <si>
    <t>WX19-1205-198</t>
  </si>
  <si>
    <t>WX19-1205-199</t>
  </si>
  <si>
    <t>WX19-1209-201</t>
  </si>
  <si>
    <t>WX20-0109-004-1</t>
  </si>
  <si>
    <t>WX20-0331-070</t>
  </si>
  <si>
    <t>WX20-0418-095</t>
  </si>
  <si>
    <t>核对(万元）</t>
  </si>
  <si>
    <t>收汇金额（万元）</t>
  </si>
  <si>
    <t>19HB1-08KW</t>
  </si>
  <si>
    <t>日本NITORI公司</t>
  </si>
  <si>
    <t>日本</t>
  </si>
  <si>
    <t>19HB1-32</t>
  </si>
  <si>
    <t>墨西哥G旧SON公司</t>
  </si>
  <si>
    <t>墨西哥</t>
  </si>
  <si>
    <t>19HB1-41</t>
  </si>
  <si>
    <t>美国G旧SON公司</t>
  </si>
  <si>
    <t>美国</t>
  </si>
  <si>
    <t>19HB1-42</t>
  </si>
  <si>
    <t>美国GLOBAL公司</t>
  </si>
  <si>
    <t>19HB1-50</t>
  </si>
  <si>
    <t>19HB2-19</t>
  </si>
  <si>
    <t>加拿大STOKES公司</t>
  </si>
  <si>
    <t>19HB2-20</t>
  </si>
  <si>
    <t>19HB2-24</t>
  </si>
  <si>
    <t>美国HOBBY LOBBY公司</t>
  </si>
  <si>
    <t>19HB2-34</t>
  </si>
  <si>
    <t>越南DAT公司</t>
  </si>
  <si>
    <t>越南</t>
  </si>
  <si>
    <t>19HB3-30</t>
  </si>
  <si>
    <t>科威特MTR公司</t>
  </si>
  <si>
    <t>科威特</t>
  </si>
  <si>
    <t>19HB3-22B</t>
  </si>
  <si>
    <t>南非FANEL公司</t>
  </si>
  <si>
    <t>南非</t>
  </si>
  <si>
    <t>19HB3-24C</t>
  </si>
  <si>
    <t>19HB3-31</t>
  </si>
  <si>
    <t>19HB1-119</t>
  </si>
  <si>
    <t>美国JAY公司</t>
  </si>
  <si>
    <t>19HB1-15</t>
  </si>
  <si>
    <t>德国GRIES公司</t>
  </si>
  <si>
    <t>美国GIBSON公司</t>
  </si>
  <si>
    <t>19HB1-61</t>
  </si>
  <si>
    <t>19HB2-11A</t>
  </si>
  <si>
    <t>马提尼克CLARTE公司</t>
  </si>
  <si>
    <t>马提尼克</t>
  </si>
  <si>
    <t>19HB2-27</t>
  </si>
  <si>
    <t>丹麦IB公司</t>
  </si>
  <si>
    <t>丹麦</t>
  </si>
  <si>
    <t>19HB3-24</t>
  </si>
  <si>
    <t>科威特AHMEND公司</t>
  </si>
  <si>
    <t>19HB3-34</t>
  </si>
  <si>
    <t>约旦ARABIAN公司</t>
  </si>
  <si>
    <t>约旦</t>
  </si>
  <si>
    <t>19HB3-38</t>
  </si>
  <si>
    <t>荷兰DILKA公司</t>
  </si>
  <si>
    <t>荷兰</t>
  </si>
  <si>
    <t>19HB3-42</t>
  </si>
  <si>
    <t>意大利STAR公司</t>
  </si>
  <si>
    <t>19HB1-09</t>
  </si>
  <si>
    <t>沙特LUCKY公司</t>
  </si>
  <si>
    <t>沙特</t>
  </si>
  <si>
    <t>19HB1-06</t>
  </si>
  <si>
    <t>丹麦SOESTRENEN公司</t>
  </si>
  <si>
    <t>19HB1-13</t>
  </si>
  <si>
    <t>曰本</t>
  </si>
  <si>
    <t>19HB1-11</t>
  </si>
  <si>
    <t>美国KINNEAR公司</t>
  </si>
  <si>
    <t>19HB1-63</t>
  </si>
  <si>
    <t>19HB2-40</t>
  </si>
  <si>
    <t>菲律宾RICCOWARE公司</t>
  </si>
  <si>
    <t>菲律宾</t>
  </si>
  <si>
    <t>19HB2-41</t>
  </si>
  <si>
    <t>19HB2-54</t>
  </si>
  <si>
    <t>18HB3-29</t>
  </si>
  <si>
    <t>19HB3-22</t>
  </si>
  <si>
    <t>19HB3-23</t>
  </si>
  <si>
    <t>19HB3-36</t>
  </si>
  <si>
    <t>印尼PT.ACE公司</t>
  </si>
  <si>
    <t>印尼</t>
  </si>
  <si>
    <t>19HB3-43</t>
  </si>
  <si>
    <t>立陶宛MAXIMA公司</t>
  </si>
  <si>
    <t>立陶宛</t>
  </si>
  <si>
    <t>19HB2-21</t>
  </si>
  <si>
    <t>瑞典AXSTORES公司</t>
  </si>
  <si>
    <t>瑞典</t>
  </si>
  <si>
    <t>19HB1-18</t>
  </si>
  <si>
    <t>韩国IE公司</t>
  </si>
  <si>
    <t>19HB1-23</t>
  </si>
  <si>
    <t>日本TAKEDA公司</t>
  </si>
  <si>
    <t>19HB1-12</t>
  </si>
  <si>
    <t>台湾NITORI公司</t>
  </si>
  <si>
    <t>19HB1-14</t>
  </si>
  <si>
    <t>南非HUGIN公司</t>
  </si>
  <si>
    <t>19HB3-14</t>
  </si>
  <si>
    <t>加拿大MORDERN公司</t>
  </si>
  <si>
    <t>19HB3-15</t>
  </si>
  <si>
    <t>巴西MIMO公司</t>
  </si>
  <si>
    <t>巴西</t>
  </si>
  <si>
    <t>19HB1-65</t>
  </si>
  <si>
    <t>菲律宾TTU公司</t>
  </si>
  <si>
    <t>19HB1-67</t>
  </si>
  <si>
    <t>19HB1-68</t>
  </si>
  <si>
    <t>19HB3-46</t>
  </si>
  <si>
    <t>19HB2-22</t>
  </si>
  <si>
    <t xml:space="preserve">19HB1-10 </t>
  </si>
  <si>
    <t>澳大利亚H.A.G公司</t>
  </si>
  <si>
    <t>18HB2-30</t>
  </si>
  <si>
    <t>19HB1-57</t>
  </si>
  <si>
    <t>19HB1-72</t>
  </si>
  <si>
    <t>墨西哥GIBSON公司</t>
  </si>
  <si>
    <t>19HB1-77</t>
  </si>
  <si>
    <t>19HB1-73</t>
  </si>
  <si>
    <t>19HB3-47</t>
  </si>
  <si>
    <t>19HB1-21</t>
  </si>
  <si>
    <t>19HB2-37</t>
  </si>
  <si>
    <t>澳大利亚EASTERN公司</t>
  </si>
  <si>
    <t>19HB3-52</t>
  </si>
  <si>
    <t>法国REVIMPORT公司</t>
  </si>
  <si>
    <t>法国</t>
  </si>
  <si>
    <t>法国DG公司</t>
  </si>
  <si>
    <t>19HB1-17</t>
  </si>
  <si>
    <t>19HB1-07</t>
  </si>
  <si>
    <t>丹麦SO ESTRENE公司</t>
  </si>
  <si>
    <t>19HB1-59</t>
  </si>
  <si>
    <t>19HB1-84</t>
  </si>
  <si>
    <t>19HB2-52</t>
  </si>
  <si>
    <t>19HB3-59</t>
  </si>
  <si>
    <t>19HB3-25</t>
  </si>
  <si>
    <t>澳大利ALL SEASON公司</t>
  </si>
  <si>
    <t>19HB3-63</t>
  </si>
  <si>
    <t>19HB2-27AB</t>
  </si>
  <si>
    <t>芬兰SOK公司</t>
  </si>
  <si>
    <t>芬兰</t>
  </si>
  <si>
    <t>19HB1-21KB</t>
  </si>
  <si>
    <t>19HB1-22</t>
  </si>
  <si>
    <t>荷兰GREEN公司</t>
  </si>
  <si>
    <t>19HB1-86</t>
  </si>
  <si>
    <t>19HB3-56</t>
  </si>
  <si>
    <t>19HB3-62</t>
  </si>
  <si>
    <t>印尼PT.TUNAS公司</t>
  </si>
  <si>
    <t>19HB1-18-5</t>
  </si>
  <si>
    <t>19HB1-21KS</t>
  </si>
  <si>
    <t>19HB1-87</t>
  </si>
  <si>
    <t>19HB2-57</t>
  </si>
  <si>
    <t>沙特GULF公司</t>
  </si>
  <si>
    <t>19HB2-61</t>
  </si>
  <si>
    <t>19HB3-27</t>
  </si>
  <si>
    <t>19HB3-56B</t>
  </si>
  <si>
    <t>19HB3-66</t>
  </si>
  <si>
    <t>19HB2-40-2</t>
  </si>
  <si>
    <t>立陶宛UAB公司</t>
  </si>
  <si>
    <t>19HB2-43</t>
  </si>
  <si>
    <t>19HB1-24</t>
  </si>
  <si>
    <t>19HB1-28</t>
  </si>
  <si>
    <t>19HB1-29</t>
  </si>
  <si>
    <t>德国PANTOS公司</t>
  </si>
  <si>
    <t>20HB1-01</t>
  </si>
  <si>
    <t>19HB1-27</t>
  </si>
  <si>
    <t>19HB3-13</t>
  </si>
  <si>
    <t>阿根廷WAL-MART公司</t>
  </si>
  <si>
    <t>阿根廷</t>
  </si>
  <si>
    <t>19H1B1-95</t>
  </si>
  <si>
    <t>20HB1-15</t>
  </si>
  <si>
    <t>19HB2-55</t>
  </si>
  <si>
    <t>台湾BOTAI公司</t>
  </si>
  <si>
    <t>20HB2-03</t>
  </si>
  <si>
    <t>美国T.D C公司</t>
  </si>
  <si>
    <t>19HB3-54</t>
  </si>
  <si>
    <t>19HB3-63-3</t>
  </si>
  <si>
    <t>20HB3-05</t>
  </si>
  <si>
    <t>19HB2-39</t>
  </si>
  <si>
    <t>19HB1-28-2</t>
  </si>
  <si>
    <t>20HB1-01-3</t>
  </si>
  <si>
    <t>19HB1-27-3</t>
  </si>
  <si>
    <t>20HB1-08</t>
  </si>
  <si>
    <t>20HB3-02</t>
  </si>
  <si>
    <t>日本PEARL公司</t>
  </si>
  <si>
    <t>20HB3-04</t>
  </si>
  <si>
    <t>加拿大MODERN公司</t>
  </si>
  <si>
    <t>20HB1-05</t>
  </si>
  <si>
    <t>20HB2-12</t>
  </si>
  <si>
    <t xml:space="preserve">瓜特罗普CLARTE公司  </t>
  </si>
  <si>
    <t>瓜特罗普</t>
  </si>
  <si>
    <t>20HB2-01</t>
  </si>
  <si>
    <t>芬兰METR。公司</t>
  </si>
  <si>
    <t>20HB1-03</t>
  </si>
  <si>
    <t>20HB1-11</t>
  </si>
  <si>
    <t>20HB1-06</t>
  </si>
  <si>
    <t>20HB1-21</t>
  </si>
  <si>
    <t>19HB1-71</t>
  </si>
  <si>
    <t>20HB3-17</t>
  </si>
  <si>
    <t>20HB3-15</t>
  </si>
  <si>
    <t>澳大利亚ALL SEASONA公司</t>
  </si>
  <si>
    <t>20HB2-04</t>
  </si>
  <si>
    <t>20HB2-09</t>
  </si>
  <si>
    <t>瑞典LAGERHAUS AB公司</t>
  </si>
  <si>
    <t>20HB1-06-2</t>
  </si>
  <si>
    <t xml:space="preserve">企业名称   </t>
  </si>
  <si>
    <t>总金额（万美元）</t>
  </si>
  <si>
    <t>比例</t>
  </si>
  <si>
    <t>核算（万元）</t>
  </si>
  <si>
    <t>收汇金额 （万元）</t>
  </si>
  <si>
    <t>BGG</t>
  </si>
  <si>
    <t>VCNY</t>
  </si>
  <si>
    <t>LKL</t>
  </si>
  <si>
    <t>HBL</t>
  </si>
  <si>
    <t>DKI</t>
  </si>
  <si>
    <t>FET</t>
  </si>
  <si>
    <t>GWI</t>
  </si>
  <si>
    <t>HE</t>
  </si>
  <si>
    <t>ELK</t>
  </si>
  <si>
    <t>TJM</t>
  </si>
  <si>
    <t>KSE</t>
  </si>
  <si>
    <t>MX</t>
  </si>
  <si>
    <t>PGH</t>
  </si>
  <si>
    <t>XSL</t>
  </si>
  <si>
    <t>HWN</t>
  </si>
  <si>
    <t>SLT</t>
  </si>
  <si>
    <t>TMP</t>
  </si>
  <si>
    <t>KNM</t>
  </si>
  <si>
    <t>SGI</t>
  </si>
  <si>
    <t>QTZ</t>
  </si>
  <si>
    <t>比利时</t>
  </si>
  <si>
    <t>HCI</t>
  </si>
  <si>
    <t>CDL</t>
  </si>
  <si>
    <t>SDF</t>
  </si>
  <si>
    <t>王氏</t>
  </si>
  <si>
    <t>香港</t>
  </si>
  <si>
    <t>服务外包业务收入明细清单</t>
  </si>
  <si>
    <t>核对</t>
  </si>
  <si>
    <t>项目名称</t>
  </si>
  <si>
    <t>执行日期</t>
  </si>
  <si>
    <t>执行金额</t>
  </si>
  <si>
    <t>合计执行金额（万美元）</t>
  </si>
  <si>
    <t>印尼拉法基项目</t>
  </si>
  <si>
    <t>印尼 mamuju 项目</t>
  </si>
  <si>
    <t>印尼德龙项目</t>
  </si>
  <si>
    <t>埃塞莱比项目</t>
  </si>
  <si>
    <t>泰国 TPI 项目</t>
  </si>
  <si>
    <t>吉尔吉斯斯坦比什凯克项目</t>
  </si>
  <si>
    <t xml:space="preserve">
 合同（协议）号</t>
  </si>
  <si>
    <t>发包商 名称</t>
  </si>
  <si>
    <t>发包商 国别</t>
  </si>
  <si>
    <t>收汇金额（万美元）</t>
  </si>
  <si>
    <t>服务占15%</t>
  </si>
  <si>
    <t>POF-2019-2503</t>
  </si>
  <si>
    <t>VAILD</t>
  </si>
  <si>
    <t>新加坡</t>
  </si>
  <si>
    <t>POF-2019-2669</t>
  </si>
  <si>
    <t>POF-2019-2846</t>
  </si>
  <si>
    <t>POF-2020-0346</t>
  </si>
  <si>
    <t>POF-2020-0111</t>
  </si>
  <si>
    <t>POF-2020-1451</t>
  </si>
  <si>
    <r>
      <rPr>
        <sz val="12"/>
        <rFont val="宋体"/>
        <family val="3"/>
        <charset val="134"/>
      </rPr>
      <t>收汇日期</t>
    </r>
  </si>
  <si>
    <r>
      <rPr>
        <sz val="12"/>
        <rFont val="宋体"/>
        <family val="3"/>
        <charset val="134"/>
      </rPr>
      <t>收汇金额（美元）</t>
    </r>
  </si>
  <si>
    <r>
      <rPr>
        <sz val="12"/>
        <rFont val="宋体"/>
        <family val="3"/>
        <charset val="134"/>
      </rPr>
      <t>发票金额</t>
    </r>
  </si>
  <si>
    <r>
      <rPr>
        <sz val="12"/>
        <rFont val="宋体"/>
        <family val="3"/>
        <charset val="134"/>
      </rPr>
      <t>第一次订单号</t>
    </r>
  </si>
  <si>
    <r>
      <rPr>
        <sz val="11"/>
        <color theme="1"/>
        <rFont val="宋体"/>
        <family val="3"/>
        <charset val="134"/>
      </rPr>
      <t>第二次订单号</t>
    </r>
  </si>
  <si>
    <t>收汇金额    （万美元）</t>
  </si>
  <si>
    <t>JS1907005</t>
  </si>
  <si>
    <t>KMART</t>
  </si>
  <si>
    <t>JS1908005</t>
  </si>
  <si>
    <t>JS1909005</t>
  </si>
  <si>
    <t>JS1910005</t>
  </si>
  <si>
    <t>JS1911005</t>
  </si>
  <si>
    <t>JS1912005</t>
  </si>
  <si>
    <t>JS2001001</t>
  </si>
  <si>
    <t>JS2002001</t>
  </si>
  <si>
    <t>JS2003001</t>
  </si>
  <si>
    <t>JS2004001</t>
  </si>
  <si>
    <t>JS2005001</t>
  </si>
  <si>
    <t>JS2006001</t>
  </si>
  <si>
    <t>KANIMEX. B.V</t>
  </si>
  <si>
    <t>I0190481&amp;479</t>
  </si>
  <si>
    <t xml:space="preserve">合计 </t>
  </si>
  <si>
    <t>收汇金额 
（万美元）</t>
  </si>
  <si>
    <t>Roskill Information Services</t>
  </si>
  <si>
    <t>Hyosung Chemical Corporation PP</t>
  </si>
  <si>
    <t>CJ CheilJedang Corporation</t>
  </si>
  <si>
    <t>Citadel Enterprise Americas LLC</t>
  </si>
  <si>
    <t>LUKOIL Asia Pacific PTE LTD</t>
  </si>
  <si>
    <t>Koch Supply Trading LP</t>
  </si>
  <si>
    <t>Uniper Global Commodities SE</t>
  </si>
  <si>
    <t>ENERGY ASPECTS LTD</t>
  </si>
  <si>
    <t>EnBW Energie Baden-Wuerttemberg AG</t>
  </si>
  <si>
    <t>Gunvor Singapore Pte Ltd</t>
  </si>
  <si>
    <t>BRASKEM SA</t>
  </si>
  <si>
    <t>BRASKEM America Inc</t>
  </si>
  <si>
    <t>BASF Intertrade AG Singapore Branch</t>
  </si>
  <si>
    <t>Asik Ltd</t>
  </si>
  <si>
    <t>MITSUI &amp; CO., LTD</t>
  </si>
  <si>
    <t>Freepoint Commodities Europe LLP</t>
  </si>
  <si>
    <t>MITSUI &amp; CO. , LTD</t>
  </si>
  <si>
    <t>Phillips 66</t>
  </si>
  <si>
    <t>Argus Media Inc</t>
  </si>
  <si>
    <t>SOCAR TRADING SINGAPORE PTE LTD</t>
  </si>
  <si>
    <t>Americas Styrenics LLC</t>
  </si>
  <si>
    <t>TWCOG LLP</t>
  </si>
  <si>
    <t>Ethylene Strategies International, LP</t>
  </si>
  <si>
    <t>台橡股份有限公司(TSRC Corporation)</t>
  </si>
  <si>
    <t>中国台湾</t>
  </si>
  <si>
    <t>Katyon Technologies Limited</t>
  </si>
  <si>
    <t>塞浦路斯</t>
  </si>
  <si>
    <t>Adeo Group</t>
  </si>
  <si>
    <t>Blackrock, Inc</t>
  </si>
  <si>
    <t>Hantok Chemicals Co.Ltd</t>
  </si>
  <si>
    <t>NGLSTRATEGY, LLC</t>
  </si>
  <si>
    <t>Vitol Asia Pte Ltd</t>
  </si>
  <si>
    <t>PJSC Tatneft</t>
  </si>
  <si>
    <t xml:space="preserve"> Evoiiik Performance Materials GmbH</t>
  </si>
  <si>
    <t>Teng Yue Partners, LP</t>
  </si>
  <si>
    <t>BP Singapore Pte. Ltd</t>
  </si>
  <si>
    <t>Petronas LNG Sdn Bhd</t>
  </si>
  <si>
    <t>马来西亚</t>
  </si>
  <si>
    <t>UBS AG Hong Kong Branch</t>
  </si>
  <si>
    <t>中国香港</t>
  </si>
  <si>
    <t>PJSC SIBUR Holding</t>
  </si>
  <si>
    <t>MORGAN STANLEY ASIA LIMITED</t>
  </si>
  <si>
    <t>Kuwait Paraxylene Production Company</t>
  </si>
  <si>
    <t>ICL EUROPE COOEPERATIEF U. A.</t>
  </si>
  <si>
    <t>Gunvor Singapore Pte. Ltd.</t>
  </si>
  <si>
    <t>Trafigura Pte. Ltd.</t>
  </si>
  <si>
    <t>Pictet Asset Management SA</t>
  </si>
  <si>
    <t>瑞士</t>
  </si>
  <si>
    <t>NYK Trading Corporation</t>
  </si>
  <si>
    <t>CENTRICA LNG Company Ltd</t>
  </si>
  <si>
    <t>2019年7月至2020年6月涉外收入申报单</t>
  </si>
  <si>
    <t>申报号码</t>
  </si>
  <si>
    <t>银行业务编码</t>
  </si>
  <si>
    <t>申报日期</t>
  </si>
  <si>
    <t>收款人名称</t>
  </si>
  <si>
    <t>收款人代码</t>
  </si>
  <si>
    <t>付款人名称</t>
  </si>
  <si>
    <t>国别代码</t>
  </si>
  <si>
    <t>结算方式</t>
  </si>
  <si>
    <t>收入款币种代码</t>
  </si>
  <si>
    <t>收入款金额</t>
  </si>
  <si>
    <t>370323000301191008N003</t>
  </si>
  <si>
    <t>152501HR19002379</t>
  </si>
  <si>
    <t>2019-10-09</t>
  </si>
  <si>
    <t>168612182</t>
  </si>
  <si>
    <t>(JW)SWAZIPHARM WHOLESALE PTY LTD</t>
  </si>
  <si>
    <t>SWZ</t>
  </si>
  <si>
    <t>电汇</t>
  </si>
  <si>
    <t>76551.00</t>
  </si>
  <si>
    <t>5页</t>
  </si>
  <si>
    <t>370323000301191224N007</t>
  </si>
  <si>
    <t>152501HR19003086</t>
  </si>
  <si>
    <t>2019-12-25</t>
  </si>
  <si>
    <t>51034.00</t>
  </si>
  <si>
    <t>370323000301191121N002</t>
  </si>
  <si>
    <t>152501HR19002808</t>
  </si>
  <si>
    <t>2019-11-22</t>
  </si>
  <si>
    <t>(JW)DIFEM LABORATORIOS S A</t>
  </si>
  <si>
    <t>CHL</t>
  </si>
  <si>
    <t>91455.00</t>
  </si>
  <si>
    <t>7页</t>
  </si>
  <si>
    <t>370323000301191112N002</t>
  </si>
  <si>
    <t>152501HR19002695</t>
  </si>
  <si>
    <t>2019-11-13</t>
  </si>
  <si>
    <t>122667.00</t>
  </si>
  <si>
    <t>370323000301191225N006</t>
  </si>
  <si>
    <t>152501HR19003103</t>
  </si>
  <si>
    <t>2019-12-27</t>
  </si>
  <si>
    <t>222891.00</t>
  </si>
  <si>
    <t>370323000301191025N007</t>
  </si>
  <si>
    <t>152501HR19002565</t>
  </si>
  <si>
    <t>2019-10-26</t>
  </si>
  <si>
    <t>(JW)IMRES BV</t>
  </si>
  <si>
    <t>NLD</t>
  </si>
  <si>
    <t>184299.00</t>
  </si>
  <si>
    <t>11页</t>
  </si>
  <si>
    <t>370323000201191122N003</t>
  </si>
  <si>
    <t>RS0693231742301</t>
  </si>
  <si>
    <t>2019-11-25</t>
  </si>
  <si>
    <t>(JW)SABASTAR GENERAL TRADING CO. LTD</t>
  </si>
  <si>
    <t>UGA</t>
  </si>
  <si>
    <t>76319.00</t>
  </si>
  <si>
    <t>15页</t>
  </si>
  <si>
    <t>370323000201200225N004</t>
  </si>
  <si>
    <t>RS0600493E5AA01</t>
  </si>
  <si>
    <t>2020-02-27</t>
  </si>
  <si>
    <t>127000.00</t>
  </si>
  <si>
    <t>370323000301191028N002</t>
  </si>
  <si>
    <t>152501BM19000282</t>
  </si>
  <si>
    <t>2019-10-28</t>
  </si>
  <si>
    <t>(JW)MEHRAN TRADERS</t>
  </si>
  <si>
    <t>PAK</t>
  </si>
  <si>
    <t>信用证</t>
  </si>
  <si>
    <t>46514.00</t>
  </si>
  <si>
    <t>17页</t>
  </si>
  <si>
    <t>370323000301191025N003</t>
  </si>
  <si>
    <t>152501BM19000278</t>
  </si>
  <si>
    <t>370323000301191010N002</t>
  </si>
  <si>
    <t>152501BM19000264</t>
  </si>
  <si>
    <t>2019-10-11</t>
  </si>
  <si>
    <t>36624.00</t>
  </si>
  <si>
    <t>20页</t>
  </si>
  <si>
    <t>370323000301191122N020</t>
  </si>
  <si>
    <t>152501BM19000309</t>
  </si>
  <si>
    <t>46574.00</t>
  </si>
  <si>
    <t>370323000301191115N004</t>
  </si>
  <si>
    <t>152501BM19000299</t>
  </si>
  <si>
    <t>2019-11-16</t>
  </si>
  <si>
    <t>370323000301191218N001</t>
  </si>
  <si>
    <t>152501BM19000339</t>
  </si>
  <si>
    <t>2019-12-20</t>
  </si>
  <si>
    <t>36577.00</t>
  </si>
  <si>
    <t>370323000101191125N002</t>
  </si>
  <si>
    <t>TI19111400001724</t>
  </si>
  <si>
    <t>(JW)COMPANY DEKO CO LTD</t>
  </si>
  <si>
    <t>RUS</t>
  </si>
  <si>
    <t>110592.00</t>
  </si>
  <si>
    <t>23页</t>
  </si>
  <si>
    <t>370323000101191114N009</t>
  </si>
  <si>
    <t>TI19111400001648</t>
  </si>
  <si>
    <t>2019-11-14</t>
  </si>
  <si>
    <t>53000.00</t>
  </si>
  <si>
    <t>370323000301190927N022</t>
  </si>
  <si>
    <t>152501HR19002348</t>
  </si>
  <si>
    <t>2019-09-28</t>
  </si>
  <si>
    <t>(JW)HONG KONG EFFI PHARM BIOTECH</t>
  </si>
  <si>
    <t>HKG</t>
  </si>
  <si>
    <t>398745.00</t>
  </si>
  <si>
    <t>26页</t>
  </si>
  <si>
    <t>370323000301191126N015</t>
  </si>
  <si>
    <t>152501HR19002849</t>
  </si>
  <si>
    <t>2019-11-27</t>
  </si>
  <si>
    <t>278430.00</t>
  </si>
  <si>
    <t>370323000301191119N004</t>
  </si>
  <si>
    <t>152501HR19002771</t>
  </si>
  <si>
    <t>2019-11-20</t>
  </si>
  <si>
    <t>361770.00</t>
  </si>
  <si>
    <t>370323000301200210N087</t>
  </si>
  <si>
    <t>152501HR20000234</t>
  </si>
  <si>
    <t>2020-02-11</t>
  </si>
  <si>
    <t>176544.00</t>
  </si>
  <si>
    <t>370323000301191015N017</t>
  </si>
  <si>
    <t>152501HR19002438</t>
  </si>
  <si>
    <t>2019-10-17</t>
  </si>
  <si>
    <t>129633.00</t>
  </si>
  <si>
    <t>28页</t>
  </si>
  <si>
    <t>370323000301200219N001</t>
  </si>
  <si>
    <t>152501BM20000039</t>
  </si>
  <si>
    <t>2020-02-20</t>
  </si>
  <si>
    <t>(JW)SKY STANDARD BUSINESS P L C</t>
  </si>
  <si>
    <t>ETH</t>
  </si>
  <si>
    <t>260617.00</t>
  </si>
  <si>
    <t>36页</t>
  </si>
  <si>
    <t>370323000301200217N048</t>
  </si>
  <si>
    <t>152501BM20000037</t>
  </si>
  <si>
    <t>2020-02-18</t>
  </si>
  <si>
    <t>275612.00</t>
  </si>
  <si>
    <t>370323000301200309N009</t>
  </si>
  <si>
    <t>152501BM20000055</t>
  </si>
  <si>
    <t>2020-03-10</t>
  </si>
  <si>
    <t>105290.00</t>
  </si>
  <si>
    <t>370323000301191028N003</t>
  </si>
  <si>
    <t>152501HR19002568</t>
  </si>
  <si>
    <t>(JW)CAPLIN POINT LABORATORIES LTD</t>
  </si>
  <si>
    <t>IND</t>
  </si>
  <si>
    <t>50498.00</t>
  </si>
  <si>
    <t>39页</t>
  </si>
  <si>
    <t>370323000301191127N004</t>
  </si>
  <si>
    <t>152501HR19002855</t>
  </si>
  <si>
    <t>92250.00</t>
  </si>
  <si>
    <t>370323000301191127N002</t>
  </si>
  <si>
    <t>152501HR19002857</t>
  </si>
  <si>
    <t>83515.00</t>
  </si>
  <si>
    <t>370323000301191216N009</t>
  </si>
  <si>
    <t>152501HR19003010</t>
  </si>
  <si>
    <t>2019-12-17</t>
  </si>
  <si>
    <t>180839.00</t>
  </si>
  <si>
    <t>41页</t>
  </si>
  <si>
    <t>370323000301190819N011</t>
  </si>
  <si>
    <t>152501HR19001974</t>
  </si>
  <si>
    <t>2019-08-20</t>
  </si>
  <si>
    <t>(JW)THE MEDICAL EXPORT GROUP B V</t>
  </si>
  <si>
    <t>97864.00</t>
  </si>
  <si>
    <t>43页</t>
  </si>
  <si>
    <t>370323000301191101N009</t>
  </si>
  <si>
    <t>152501HR19002606</t>
  </si>
  <si>
    <t>2019-11-02</t>
  </si>
  <si>
    <t>77091.00</t>
  </si>
  <si>
    <t>370323000301191022N011</t>
  </si>
  <si>
    <t>152501HR19002509</t>
  </si>
  <si>
    <t>2019-10-23</t>
  </si>
  <si>
    <t>(JW)LABORATORIOS DELTA S A S</t>
  </si>
  <si>
    <t>COL</t>
  </si>
  <si>
    <t>247285.00</t>
  </si>
  <si>
    <t>46页</t>
  </si>
  <si>
    <t>370323000301191130N003</t>
  </si>
  <si>
    <t>152501HR19002893</t>
  </si>
  <si>
    <t>2019-12-02</t>
  </si>
  <si>
    <t>405445.00</t>
  </si>
  <si>
    <t>370323000301200429N005</t>
  </si>
  <si>
    <t>152501BM20000099</t>
  </si>
  <si>
    <t>2020-04-30</t>
  </si>
  <si>
    <t>(JW)INDUT INDUSTRIAL PVT LTD CO</t>
  </si>
  <si>
    <t>144570.00</t>
  </si>
  <si>
    <t>48页</t>
  </si>
  <si>
    <t>370323000301191119N008</t>
  </si>
  <si>
    <t>152501EM19000171</t>
  </si>
  <si>
    <t>(JW)GENEITH PHARM LTD</t>
  </si>
  <si>
    <t>NGA</t>
  </si>
  <si>
    <t>托收</t>
  </si>
  <si>
    <t>185684.00</t>
  </si>
  <si>
    <t>52页</t>
  </si>
  <si>
    <t>370323000301191105N008</t>
  </si>
  <si>
    <t>152501EM19000166</t>
  </si>
  <si>
    <t>2019-11-05</t>
  </si>
  <si>
    <t>25985.00</t>
  </si>
  <si>
    <t>370323000301190715N012</t>
  </si>
  <si>
    <t>152501HR19001668</t>
  </si>
  <si>
    <t>2019-07-16</t>
  </si>
  <si>
    <t>310185.00</t>
  </si>
  <si>
    <t>59页</t>
  </si>
  <si>
    <t>370323000301191121N006</t>
  </si>
  <si>
    <t>152501HR19002787</t>
  </si>
  <si>
    <t>500565.00</t>
  </si>
  <si>
    <t>370323000301200110N003</t>
  </si>
  <si>
    <t>152501BM20000009</t>
  </si>
  <si>
    <t>2020-01-11</t>
  </si>
  <si>
    <t>32624.00</t>
  </si>
  <si>
    <t>61页</t>
  </si>
  <si>
    <t>370323000301200210N048</t>
  </si>
  <si>
    <t>152501BM20000025</t>
  </si>
  <si>
    <t>36669.00</t>
  </si>
  <si>
    <t>370323000301200210N061</t>
  </si>
  <si>
    <t>152501BM20000033</t>
  </si>
  <si>
    <t>39613.00</t>
  </si>
  <si>
    <t>370323000301200325N006</t>
  </si>
  <si>
    <t>152501BM20000073</t>
  </si>
  <si>
    <t>2020-03-25</t>
  </si>
  <si>
    <t>45739.00</t>
  </si>
  <si>
    <t>63页</t>
  </si>
  <si>
    <t>370323000301200318N007</t>
  </si>
  <si>
    <t>152501BM20000063</t>
  </si>
  <si>
    <t>2020-03-19</t>
  </si>
  <si>
    <t>45722.00</t>
  </si>
  <si>
    <t>370323000301200221N015</t>
  </si>
  <si>
    <t>152501HR20000379</t>
  </si>
  <si>
    <t>2020-02-22</t>
  </si>
  <si>
    <t>(JW)AMB INTERMED LIMITED</t>
  </si>
  <si>
    <t>219970.00</t>
  </si>
  <si>
    <t>71页</t>
  </si>
  <si>
    <t>370323000301200117N009</t>
  </si>
  <si>
    <t>152501HR20000097</t>
  </si>
  <si>
    <t>2020-01-18</t>
  </si>
  <si>
    <t>110250.00</t>
  </si>
  <si>
    <t>78页</t>
  </si>
  <si>
    <t>370323000301200117N008</t>
  </si>
  <si>
    <t>152501HR20000083</t>
  </si>
  <si>
    <t>127627.00</t>
  </si>
  <si>
    <t>79页</t>
  </si>
  <si>
    <t>370323000301200326N002</t>
  </si>
  <si>
    <t>152501HR20000681</t>
  </si>
  <si>
    <t>2020-03-27</t>
  </si>
  <si>
    <t>52706.00</t>
  </si>
  <si>
    <t>80页</t>
  </si>
  <si>
    <t>370323000301200317N013</t>
  </si>
  <si>
    <t>152501HR20000569</t>
  </si>
  <si>
    <t>160762.00</t>
  </si>
  <si>
    <t>370323000301190821N016</t>
  </si>
  <si>
    <t>152501HR19002010</t>
  </si>
  <si>
    <t>2019-08-22</t>
  </si>
  <si>
    <t>(JW)DROGUERIA INVERSIONES JPS S A C</t>
  </si>
  <si>
    <t>PER</t>
  </si>
  <si>
    <t>265313.00</t>
  </si>
  <si>
    <t>82页</t>
  </si>
  <si>
    <t>370323000301191127N003</t>
  </si>
  <si>
    <t>152501HR19002856</t>
  </si>
  <si>
    <t>67398.00</t>
  </si>
  <si>
    <t>97页</t>
  </si>
  <si>
    <t>370323000301191121N004</t>
  </si>
  <si>
    <t>152501HR19002804</t>
  </si>
  <si>
    <t>58279.00</t>
  </si>
  <si>
    <t>收汇金额 （W）</t>
  </si>
  <si>
    <t>明细</t>
  </si>
  <si>
    <t>服务外包收汇金额</t>
  </si>
  <si>
    <t>YSL201906070</t>
  </si>
  <si>
    <t>AKARAT TEXTILE INDUSTRY</t>
  </si>
  <si>
    <t>USD146. 27</t>
  </si>
  <si>
    <t>USD44. 08</t>
  </si>
  <si>
    <t>YSL20191018-CR-P09 170(1)</t>
  </si>
  <si>
    <t>CROSS RIVER LLC</t>
  </si>
  <si>
    <t>USD110. 92</t>
  </si>
  <si>
    <t>USD32. 73</t>
  </si>
  <si>
    <t>YSL191218-CR-P09216</t>
  </si>
  <si>
    <t>USD246. 74</t>
  </si>
  <si>
    <t>USD74. 00</t>
  </si>
  <si>
    <t>YSL20190530</t>
  </si>
  <si>
    <t>MANTAFIL SPA</t>
  </si>
  <si>
    <t>USD5. 02</t>
  </si>
  <si>
    <t>USD1.51</t>
  </si>
  <si>
    <t>YSL201906100</t>
  </si>
  <si>
    <t>OFFIS TEXTILE LTD</t>
  </si>
  <si>
    <t>以色列</t>
  </si>
  <si>
    <t>USD43. 62</t>
  </si>
  <si>
    <t>USD13. 06</t>
  </si>
  <si>
    <t>YSL201905100</t>
  </si>
  <si>
    <t>PLY COMPANY LIMITED</t>
  </si>
  <si>
    <t>USD3. 20</t>
  </si>
  <si>
    <t>USD0.96</t>
  </si>
  <si>
    <t>YSL201908100</t>
  </si>
  <si>
    <t>USD7. 30</t>
  </si>
  <si>
    <t>USD2. 19</t>
  </si>
  <si>
    <t>USD563. 07</t>
  </si>
  <si>
    <t>USD168. 53</t>
  </si>
  <si>
    <t>旭福股份有限公司</t>
  </si>
  <si>
    <t>强茂股份有限公司</t>
  </si>
  <si>
    <t>威士半导体</t>
  </si>
  <si>
    <t>美微科半导体有限公司</t>
  </si>
  <si>
    <t>收汇金额    
 （万美元）</t>
  </si>
  <si>
    <t>核对金额</t>
  </si>
  <si>
    <t>承接国际服务外包业务申请表
（服务外包企业加快发展国际服务外包业务)</t>
  </si>
  <si>
    <t>企业
名称</t>
  </si>
  <si>
    <t>核对（万美元）</t>
  </si>
  <si>
    <t>收汇金额
（万美元）</t>
  </si>
  <si>
    <t>UW-20190129</t>
  </si>
  <si>
    <t>UNION WINNER INTERNATIONAL CO LTD</t>
  </si>
  <si>
    <t>UW-20190138</t>
  </si>
  <si>
    <t>UW-20200004</t>
  </si>
  <si>
    <t>UW-20200013</t>
  </si>
  <si>
    <t>UW-20200028</t>
  </si>
  <si>
    <t>UW-20200036</t>
  </si>
  <si>
    <t>UW-20200045</t>
  </si>
  <si>
    <t>UW-20200047</t>
  </si>
  <si>
    <t>UW-2020051</t>
  </si>
  <si>
    <t>RFP20191018</t>
  </si>
  <si>
    <t>SUNG YU CO.,LTD</t>
  </si>
  <si>
    <t>RFP20191219</t>
  </si>
  <si>
    <t>RFP20191209-1</t>
  </si>
  <si>
    <t>SCOTT CHEMICALS AUSTRALIA PTY LTD</t>
  </si>
  <si>
    <t>RFP20200122</t>
  </si>
  <si>
    <t>RFP20200317-2</t>
  </si>
  <si>
    <t>RFP20190829</t>
  </si>
  <si>
    <t>SANYDAN LIMITED</t>
  </si>
  <si>
    <t>RFP20191221</t>
  </si>
  <si>
    <t>BAERLOCHER DO BRASIL S.A</t>
  </si>
  <si>
    <t>RFP20200117</t>
  </si>
  <si>
    <t>RFP20200123</t>
  </si>
  <si>
    <t>ADD-CHEM GERMANY GMBH</t>
  </si>
  <si>
    <t>RFP20200116</t>
  </si>
  <si>
    <t>RFP20200206-3</t>
  </si>
  <si>
    <t>RFP20200206-2</t>
  </si>
  <si>
    <t>RFP20200206-1</t>
  </si>
  <si>
    <t>RFP20200415</t>
  </si>
  <si>
    <t>RFP20200409</t>
  </si>
  <si>
    <t>RFS191127</t>
  </si>
  <si>
    <t>DANSUK INDUSTRIAL CO.,LTD</t>
  </si>
  <si>
    <t>RFS200414</t>
  </si>
  <si>
    <t>RFH20013003</t>
  </si>
  <si>
    <t>FREEDOM CHEMTECH LLP</t>
  </si>
  <si>
    <t>印度</t>
  </si>
  <si>
    <t>RFH20012805</t>
  </si>
  <si>
    <t>BAERLOCHER INDIA ADDITIVES PVT LTD</t>
  </si>
  <si>
    <t>RFH19120403</t>
  </si>
  <si>
    <t>INDOFIL INDUSTRIES LIMITED</t>
  </si>
  <si>
    <t>RFH19122603</t>
  </si>
  <si>
    <t>RFH20010903</t>
  </si>
  <si>
    <t>RFH20021103</t>
  </si>
  <si>
    <t>RFH20022203</t>
  </si>
  <si>
    <t>RFJ200225</t>
  </si>
  <si>
    <t>RAVIN SPECIALTY CHEMICALS LLP</t>
  </si>
  <si>
    <t>金额不对</t>
  </si>
  <si>
    <t>RFJ19083102</t>
  </si>
  <si>
    <t>AES LTD</t>
  </si>
  <si>
    <t>RFJ19120201</t>
  </si>
  <si>
    <t>RFJ19120202</t>
  </si>
  <si>
    <t>RFJ200221</t>
  </si>
  <si>
    <t>RFG200211</t>
  </si>
  <si>
    <t>WOOCHANG CO.,LTD</t>
  </si>
  <si>
    <t>RFG191214</t>
  </si>
  <si>
    <t>WOOJOOPIA IND</t>
  </si>
  <si>
    <t>17122009</t>
  </si>
  <si>
    <t>OOO POLYMERSERVICE</t>
  </si>
  <si>
    <t>RFG191206</t>
  </si>
  <si>
    <t>BLENDTECH CO.,LTD</t>
  </si>
  <si>
    <t>RFG191217</t>
  </si>
  <si>
    <t>RFG200305-1</t>
  </si>
  <si>
    <t>RFG200305-2</t>
  </si>
  <si>
    <t>RFG200430</t>
  </si>
  <si>
    <t>RFG200415</t>
  </si>
  <si>
    <t>RFA20191203-2</t>
  </si>
  <si>
    <t>MULTIPLE PLUS CO.,LTD</t>
  </si>
  <si>
    <t>RFC191119</t>
  </si>
  <si>
    <t>AKD POLYMERS PVT LTD</t>
  </si>
  <si>
    <t>RFC191205</t>
  </si>
  <si>
    <t>RFC191207</t>
  </si>
  <si>
    <t>RFC200210-2</t>
  </si>
  <si>
    <t>RFC200210</t>
  </si>
  <si>
    <t>RFC200201</t>
  </si>
  <si>
    <t>SHITAL INDUSTRIES PVT LTD</t>
  </si>
  <si>
    <t>RFC20200203</t>
  </si>
  <si>
    <t>HOANGHA PLASTIC CO.,LTD</t>
  </si>
  <si>
    <t>RFC20200414</t>
  </si>
  <si>
    <t>RFA20200114</t>
  </si>
  <si>
    <t>RAJSHRI PLASTIWOOD (DIVISION OF RAJSHRI PRODUCTIONS (P) LTD</t>
  </si>
  <si>
    <t>RFA20191019-2</t>
  </si>
  <si>
    <t>RFA20191210-2</t>
  </si>
  <si>
    <t>RFA20200120</t>
  </si>
  <si>
    <t>RFC20191226</t>
  </si>
  <si>
    <t>YOUNG JIN C&amp;S CO.,LTD</t>
  </si>
  <si>
    <t>RFC20200221</t>
  </si>
  <si>
    <t>RFC20200412-2</t>
  </si>
  <si>
    <t>RFC20191127</t>
  </si>
  <si>
    <t>RAMAN ENTERPRISE</t>
  </si>
  <si>
    <t>RFC20191213-1</t>
  </si>
  <si>
    <t>RFC20191213-2</t>
  </si>
  <si>
    <t>RFC20200121-1</t>
  </si>
  <si>
    <t>RFC20200121-2</t>
  </si>
  <si>
    <t>RFC20200121-3</t>
  </si>
  <si>
    <t>RFC20200219-1</t>
  </si>
  <si>
    <t>RFC20200219-2</t>
  </si>
  <si>
    <t>RFC20200219-3</t>
  </si>
  <si>
    <t>RFC20200304-1</t>
  </si>
  <si>
    <t>RFC20200304-2</t>
  </si>
  <si>
    <t>服务外包明细表</t>
  </si>
  <si>
    <r>
      <rPr>
        <sz val="9"/>
        <color rgb="FF000000"/>
        <rFont val="宋体"/>
        <family val="3"/>
        <charset val="134"/>
      </rPr>
      <t>计算依据</t>
    </r>
    <r>
      <rPr>
        <sz val="9"/>
        <color rgb="FF000000"/>
        <rFont val="宋体"/>
        <family val="3"/>
        <charset val="134"/>
      </rPr>
      <t>：</t>
    </r>
    <r>
      <rPr>
        <sz val="9"/>
        <color rgb="FF000000"/>
        <rFont val="宋体"/>
        <family val="3"/>
        <charset val="134"/>
      </rPr>
      <t>服务外包收汇金额*美元汇率*贷款基准利率（2020.6.30最近一期3.85%）</t>
    </r>
  </si>
  <si>
    <t>NBL20-3-11</t>
  </si>
  <si>
    <t>T C S R L</t>
  </si>
  <si>
    <t>NBL20-3-12</t>
  </si>
  <si>
    <t>LOG IN KIDS LIMITED</t>
  </si>
  <si>
    <t>人民币</t>
  </si>
  <si>
    <t>NBL20-3-13</t>
  </si>
  <si>
    <t>SANKO TEKSTIL ISLETMELERI SAN.VE</t>
  </si>
  <si>
    <r>
      <rPr>
        <sz val="12"/>
        <color rgb="FF000000"/>
        <rFont val="宋体"/>
        <family val="3"/>
        <charset val="134"/>
      </rPr>
      <t>NBL20-3-2</t>
    </r>
    <r>
      <rPr>
        <sz val="12"/>
        <color rgb="FF000000"/>
        <rFont val="宋体"/>
        <family val="3"/>
        <charset val="134"/>
      </rPr>
      <t>0</t>
    </r>
  </si>
  <si>
    <t>KIRCHBERGER MASCHINENBAU UG</t>
  </si>
  <si>
    <r>
      <rPr>
        <sz val="12"/>
        <color rgb="FF000000"/>
        <rFont val="宋体"/>
        <family val="3"/>
        <charset val="134"/>
      </rPr>
      <t>NBL20-3-2</t>
    </r>
    <r>
      <rPr>
        <sz val="12"/>
        <color rgb="FF000000"/>
        <rFont val="宋体"/>
        <family val="3"/>
        <charset val="134"/>
      </rPr>
      <t>3</t>
    </r>
  </si>
  <si>
    <t>PALMERS TEXTIL AKTIENGESEUSCHAF</t>
  </si>
  <si>
    <t>奥地利</t>
  </si>
  <si>
    <t>NBL20-3-24</t>
  </si>
  <si>
    <t>NBL20-3-31</t>
  </si>
  <si>
    <t>TOUNET PRESSING</t>
  </si>
  <si>
    <t>NBL20-3-36</t>
  </si>
  <si>
    <t>TRADE TWO WORLD LLC</t>
  </si>
  <si>
    <t>巴拿马</t>
  </si>
  <si>
    <t>NBL20-3-39</t>
  </si>
  <si>
    <t>MASKOLOGY LIMITED</t>
  </si>
  <si>
    <t>NBL20-3-41</t>
  </si>
  <si>
    <t>UP KILIKIJPLUS</t>
  </si>
  <si>
    <t>白俄罗斯</t>
  </si>
  <si>
    <t>收汇时间</t>
  </si>
  <si>
    <t>合同收汇金额（每笔收汇一条记录）</t>
  </si>
  <si>
    <t>币种</t>
  </si>
  <si>
    <t>回单号</t>
  </si>
  <si>
    <t>页码</t>
  </si>
  <si>
    <t>合同金额</t>
  </si>
  <si>
    <t>山东威达机械股份有限公司</t>
  </si>
  <si>
    <t>1/ROBERT BOSCH GMBH 2/ ROBERT-BOSCH-PLATZ 1</t>
  </si>
  <si>
    <t>匈牙利</t>
  </si>
  <si>
    <t>J0000010702309</t>
  </si>
  <si>
    <t>J0000010937068</t>
  </si>
  <si>
    <t>J0000008646037</t>
  </si>
  <si>
    <t>ROBERT BOSCH LIMITADA</t>
  </si>
  <si>
    <t>J0000008718629</t>
  </si>
  <si>
    <t>J0000007724981</t>
  </si>
  <si>
    <t>J0000008529587</t>
  </si>
  <si>
    <t>J0000010405351</t>
  </si>
  <si>
    <t>J0000008916717</t>
  </si>
  <si>
    <t>SC460111749193</t>
  </si>
  <si>
    <t>TK19435675</t>
  </si>
  <si>
    <t>TTi AC (Macao Commercial Offshore) Limited</t>
  </si>
  <si>
    <t>美元</t>
  </si>
  <si>
    <t>J0000004490872</t>
  </si>
  <si>
    <t>J0000012289058</t>
  </si>
  <si>
    <t>TK19435867</t>
  </si>
  <si>
    <t>J0000011969486</t>
  </si>
  <si>
    <t>J0000010880218</t>
  </si>
  <si>
    <t>J0000003273800</t>
  </si>
  <si>
    <t>TK19435942</t>
  </si>
  <si>
    <t>J0000010857975</t>
  </si>
  <si>
    <t>J0000009925098</t>
  </si>
  <si>
    <t>J0000011310212</t>
  </si>
  <si>
    <t>CTTI SUPPLIER FLANCE NA 388GREENWICH STREET NEW YORK</t>
  </si>
  <si>
    <t>OOO BOSCH POWER TOOLSPROSPEKT ENGELSA 139</t>
  </si>
  <si>
    <t>J0000012722221</t>
  </si>
  <si>
    <t>J0000011073414</t>
  </si>
  <si>
    <t>J0000012367942</t>
  </si>
  <si>
    <t>J0000011349262</t>
  </si>
  <si>
    <t>J0000011900094</t>
  </si>
  <si>
    <t>J0000003406151</t>
  </si>
  <si>
    <t>001945597644</t>
  </si>
  <si>
    <t>005198147667</t>
  </si>
  <si>
    <t>005838002173</t>
  </si>
  <si>
    <t>CTTI NA 3800 CITI CENTER BUILDING B 1S T FLOOR U.S.A.</t>
  </si>
  <si>
    <t>007946787216</t>
  </si>
  <si>
    <t>009871909326</t>
  </si>
  <si>
    <t>010472670179</t>
  </si>
  <si>
    <t>J0000005223815</t>
  </si>
  <si>
    <t>J0000005553046</t>
  </si>
  <si>
    <t>TK19435948</t>
  </si>
  <si>
    <t>J0000012085351</t>
  </si>
  <si>
    <t>J0000010397921</t>
  </si>
  <si>
    <t>J0000009393550</t>
  </si>
  <si>
    <t>J0000002963458</t>
  </si>
  <si>
    <t>J0000004227076</t>
  </si>
  <si>
    <t>J0000009564163</t>
  </si>
  <si>
    <t>J0000012988573</t>
  </si>
  <si>
    <t>J0000008548207</t>
  </si>
  <si>
    <t>J0000006634151</t>
  </si>
  <si>
    <t>J0000006627040</t>
  </si>
  <si>
    <t>TK19435950</t>
  </si>
  <si>
    <t>J0000002969113</t>
  </si>
  <si>
    <t>J0000004115500</t>
  </si>
  <si>
    <t>J0000006937774</t>
  </si>
  <si>
    <t>ROBERT BOSCH GESELLSHAFT MIT</t>
  </si>
  <si>
    <t>J0000005376008</t>
  </si>
  <si>
    <t>J0000002161868</t>
  </si>
  <si>
    <t>TECHTRONIC CORDLESS GP</t>
  </si>
  <si>
    <t>J0000011074069</t>
  </si>
  <si>
    <t>J0000010872277</t>
  </si>
  <si>
    <t>J0000008062273</t>
  </si>
  <si>
    <t>J0000003255201</t>
  </si>
  <si>
    <t>J0000008661452</t>
  </si>
  <si>
    <t>J0000009301317</t>
  </si>
  <si>
    <t>BLACK N DECKER MACAO COMM</t>
  </si>
  <si>
    <t>155801HR20000130</t>
  </si>
  <si>
    <t>J0000003355198</t>
  </si>
  <si>
    <t>J0000002287149</t>
  </si>
  <si>
    <t>J0000005398976</t>
  </si>
  <si>
    <t>J0000008104145</t>
  </si>
  <si>
    <t>J0000008095487</t>
  </si>
  <si>
    <t>TK19435953</t>
  </si>
  <si>
    <t>J0000004146956</t>
  </si>
  <si>
    <t>J0000004141690</t>
  </si>
  <si>
    <t>J0000010098500</t>
  </si>
  <si>
    <t>J0000005358822</t>
  </si>
  <si>
    <t>J0000008096554</t>
  </si>
  <si>
    <t>012791583127</t>
  </si>
  <si>
    <t>012722512236</t>
  </si>
  <si>
    <t>013518232760</t>
  </si>
  <si>
    <t>014815113151</t>
  </si>
  <si>
    <t>J00004141690</t>
  </si>
  <si>
    <t>J00008616640</t>
  </si>
  <si>
    <t>J00008921286</t>
  </si>
  <si>
    <t>J00009292334</t>
  </si>
  <si>
    <t>J00009278435</t>
  </si>
  <si>
    <t>SC040010646220</t>
  </si>
  <si>
    <t>TK19435956</t>
  </si>
  <si>
    <t>SC160058334883</t>
  </si>
  <si>
    <t>155801HR20000213</t>
  </si>
  <si>
    <t>155801HR20000359</t>
  </si>
  <si>
    <t>J0000007336243</t>
  </si>
  <si>
    <t>TK19435958</t>
  </si>
  <si>
    <t>SC370078046568</t>
  </si>
  <si>
    <t>SC190078047970</t>
  </si>
  <si>
    <t>SC310121668684</t>
  </si>
  <si>
    <t>WDM2020001</t>
  </si>
  <si>
    <t>METABOWERKE GMBH</t>
  </si>
  <si>
    <t>J0000010819120</t>
  </si>
  <si>
    <t>015082372746</t>
  </si>
  <si>
    <t>016888909021</t>
  </si>
  <si>
    <t>018098539893</t>
  </si>
  <si>
    <t>SC190144020877</t>
  </si>
  <si>
    <t>SC370163665485</t>
  </si>
  <si>
    <t>SC310036579332</t>
  </si>
  <si>
    <t>SC190048048207</t>
  </si>
  <si>
    <t>SC160136655482</t>
  </si>
  <si>
    <t>SC310158328503</t>
  </si>
  <si>
    <t>SC400147399089</t>
  </si>
  <si>
    <t>时间</t>
  </si>
  <si>
    <t>金额/美元</t>
  </si>
  <si>
    <t>JC191201</t>
  </si>
  <si>
    <t>FCF MINERALS CORPORATION</t>
  </si>
  <si>
    <t>2019.12.05</t>
  </si>
  <si>
    <t>2019.12.30</t>
  </si>
  <si>
    <t>2020.01.19</t>
  </si>
  <si>
    <t>2020.02.13</t>
  </si>
  <si>
    <t>2020.02.24</t>
  </si>
  <si>
    <t>2020.03.09</t>
  </si>
  <si>
    <t>2020.03.20</t>
  </si>
  <si>
    <t>2020.03.25</t>
  </si>
  <si>
    <t>2020.04.23</t>
  </si>
  <si>
    <t>2020.05.08</t>
  </si>
  <si>
    <t>JC91212</t>
  </si>
  <si>
    <t>ACICO GULF REAL ESTATE</t>
  </si>
  <si>
    <t>阿联酋</t>
  </si>
  <si>
    <t>2020.02.27</t>
  </si>
  <si>
    <t>JC1022</t>
  </si>
  <si>
    <t>CHICA CALLE RICARDO WILFRIDO</t>
  </si>
  <si>
    <t>厄瓜多尔</t>
  </si>
  <si>
    <t>2020.01.14</t>
  </si>
  <si>
    <t>BPO-032770-775</t>
  </si>
  <si>
    <t>BISHA MINING SHARE COMPANY</t>
  </si>
  <si>
    <t>厄立特里亚</t>
  </si>
  <si>
    <t>2020.03.10</t>
  </si>
  <si>
    <t>2020.04.16</t>
  </si>
  <si>
    <t>2020.06.10</t>
  </si>
  <si>
    <t>JC20191217</t>
  </si>
  <si>
    <t>ANVIL MINING CONGO SARL</t>
  </si>
  <si>
    <t>刚果</t>
  </si>
  <si>
    <t>2019.12.31</t>
  </si>
  <si>
    <t>2020.04.17</t>
  </si>
  <si>
    <t>JC200115</t>
  </si>
  <si>
    <t>HRZ GENERAL TRADING LTD</t>
  </si>
  <si>
    <t>卢旺达</t>
  </si>
  <si>
    <t>2020.02.10</t>
  </si>
  <si>
    <t>SOC NATIONALE INDUSTRIELLE ET MIN</t>
  </si>
  <si>
    <t>毛里塔尼亚</t>
  </si>
  <si>
    <t>2019.12.09</t>
  </si>
  <si>
    <t>2020.01.08</t>
  </si>
  <si>
    <t>2020.05.29</t>
  </si>
  <si>
    <t>JC200205</t>
  </si>
  <si>
    <t>FOX INDUSTRIES INC</t>
  </si>
  <si>
    <t>JC201911</t>
  </si>
  <si>
    <t>HARDWARE FOR YOU</t>
  </si>
  <si>
    <t>乌干达</t>
  </si>
  <si>
    <t>2020.06.08</t>
  </si>
  <si>
    <t>2020.06.15</t>
  </si>
  <si>
    <t>JC200528</t>
  </si>
  <si>
    <t>ALLIANCE TRADING AND SERVICES DMCC</t>
  </si>
  <si>
    <t>阿拉伯联合酋长国</t>
  </si>
  <si>
    <t>2020.01.16</t>
  </si>
  <si>
    <t>欧元</t>
  </si>
  <si>
    <t>2020.02.17</t>
  </si>
  <si>
    <t>2020.06.19</t>
  </si>
  <si>
    <t>JC20200310</t>
  </si>
  <si>
    <t>AUS-METAL PTY LTD</t>
  </si>
  <si>
    <t>澳大利亚联邦</t>
  </si>
  <si>
    <t>2020.03.16</t>
  </si>
  <si>
    <t>2020.03.17</t>
  </si>
  <si>
    <t>2020.03.23</t>
  </si>
  <si>
    <t>JC1907171</t>
  </si>
  <si>
    <t>ETERNIT ARGENTINASA</t>
  </si>
  <si>
    <t>阿根廷共和国</t>
  </si>
  <si>
    <t>2019.12.11</t>
  </si>
  <si>
    <t>JC1011-2</t>
  </si>
  <si>
    <t>RUSMETINVEST LLCMONTAZNIKOV STREET,BUILD</t>
  </si>
  <si>
    <t>白俄罗斯共和国</t>
  </si>
  <si>
    <t>2020.05.12</t>
  </si>
  <si>
    <t>JC0506</t>
  </si>
  <si>
    <t>BNBINTCO LTD-SOUTH KOREA</t>
  </si>
  <si>
    <t>大韩民国</t>
  </si>
  <si>
    <t>2019.12.10</t>
  </si>
  <si>
    <t>2019.12.18</t>
  </si>
  <si>
    <t>JC200410</t>
  </si>
  <si>
    <t>BOGO CORPORATION YEOMCHANG-DONG</t>
  </si>
  <si>
    <t>2020.04.14</t>
  </si>
  <si>
    <t>JC0603</t>
  </si>
  <si>
    <t>BARREZUETA PALACIOS ANGEL DAMIAN</t>
  </si>
  <si>
    <t>厄瓜多尔共和国</t>
  </si>
  <si>
    <t>2020.06.05</t>
  </si>
  <si>
    <t>JC1014</t>
  </si>
  <si>
    <t>MINERAUX INDUSTRIELS DE GAILLON</t>
  </si>
  <si>
    <t>法兰西共和国</t>
  </si>
  <si>
    <t>JC1211</t>
  </si>
  <si>
    <t>JAMES HARDIE PHILS INC</t>
  </si>
  <si>
    <t>菲律宾共和国</t>
  </si>
  <si>
    <t>2020.01.07</t>
  </si>
  <si>
    <t>JC190911</t>
  </si>
  <si>
    <t>VJ-NORDIC OY</t>
  </si>
  <si>
    <t>芬兰共和国</t>
  </si>
  <si>
    <t>JC20191224</t>
  </si>
  <si>
    <t>ETEX COLOMBIA SA</t>
  </si>
  <si>
    <t>哥伦比亚共和国</t>
  </si>
  <si>
    <t>2020.01.09</t>
  </si>
  <si>
    <t>包括JC200122和JC20200310</t>
  </si>
  <si>
    <t>2020.04.03</t>
  </si>
  <si>
    <t>JC20200331</t>
  </si>
  <si>
    <t>KADULA AND KAPATA LIMITEDPO BOX</t>
  </si>
  <si>
    <t>坦桑尼亚联合共和国</t>
  </si>
  <si>
    <t>PO110818</t>
  </si>
  <si>
    <t>KEY PROCESS SPA</t>
  </si>
  <si>
    <t>智利共和国</t>
  </si>
  <si>
    <t>2019.12.02</t>
  </si>
  <si>
    <t>2020.01.22</t>
  </si>
  <si>
    <t>2020.03.03</t>
  </si>
  <si>
    <t>JC20191005</t>
  </si>
  <si>
    <t>MW GROUP PTY LTD</t>
  </si>
  <si>
    <t>澳元</t>
  </si>
  <si>
    <t>2020.04.01</t>
  </si>
  <si>
    <t>2020.06.02</t>
  </si>
  <si>
    <t>企业</t>
  </si>
  <si>
    <t>核算USD</t>
  </si>
  <si>
    <t>（万元）</t>
  </si>
  <si>
    <t>HLD-JS-20181201</t>
  </si>
  <si>
    <t>联合巴士科技有限公司</t>
  </si>
  <si>
    <t>HLD-JS-20190101</t>
  </si>
  <si>
    <t>HLD-JS-20191204</t>
  </si>
  <si>
    <t>爱来巴士科技有限公司</t>
  </si>
  <si>
    <t>HLD-JS-20200301</t>
  </si>
  <si>
    <t>Lionbridge Technologies (Jinan), Inc.</t>
  </si>
  <si>
    <t>2019年7月至2020年6月外汇收入情况统计表</t>
  </si>
  <si>
    <t>Foreign  Exchange  Income   Statistic   for   Jan   to   Jun 2020</t>
  </si>
  <si>
    <r>
      <rPr>
        <sz val="10"/>
        <rFont val="宋体"/>
        <family val="3"/>
        <charset val="134"/>
      </rPr>
      <t>日期</t>
    </r>
    <r>
      <rPr>
        <sz val="10"/>
        <rFont val="MS Sans Serif"/>
      </rPr>
      <t>/Date</t>
    </r>
  </si>
  <si>
    <r>
      <rPr>
        <sz val="10"/>
        <rFont val="宋体"/>
        <family val="3"/>
        <charset val="134"/>
      </rPr>
      <t>金额</t>
    </r>
    <r>
      <rPr>
        <sz val="10"/>
        <rFont val="MS Sans Serif"/>
      </rPr>
      <t xml:space="preserve">/Income Amount </t>
    </r>
  </si>
  <si>
    <t>Subtotal:</t>
  </si>
  <si>
    <t xml:space="preserve">                      Total:                        </t>
  </si>
  <si>
    <t>2020年度企业国际服务外包业务收入明细清单</t>
  </si>
  <si>
    <t>购方名称</t>
  </si>
  <si>
    <t>购方地址电话</t>
  </si>
  <si>
    <t>离岸价</t>
  </si>
  <si>
    <t>合同协议号</t>
  </si>
  <si>
    <t>付款人名称-涉外收入申报单中的付款人名称</t>
  </si>
  <si>
    <t>收汇时间(涉外收入申报单的申报日期)</t>
  </si>
  <si>
    <t>收汇（万元）</t>
  </si>
  <si>
    <t>涉外收入申报中单银行业务编码</t>
  </si>
  <si>
    <t>核对（黄色为付款人不一致）</t>
  </si>
  <si>
    <t>GUMACO-GULF MACHINES TRADING EST.</t>
  </si>
  <si>
    <t>沙特阿拉伯</t>
  </si>
  <si>
    <t>FOB：107000美元_x000D_</t>
  </si>
  <si>
    <t>SFLY20190526</t>
  </si>
  <si>
    <t>(JW)MAKAEN GULF TRADING EST6887,TAREEQ ALKHRG ALFRAY ,ALRIYADH14321-2673-K.S.A.ID 1010287602</t>
  </si>
  <si>
    <t>IR1172611902125</t>
  </si>
  <si>
    <t>WELD VISION IMPORTACAO E EXPORTACAO LTDA</t>
  </si>
  <si>
    <t>FOB：258350美元</t>
  </si>
  <si>
    <t>IMP.18B.2019</t>
  </si>
  <si>
    <t>(JW)WELD VISION IMPORTACAO E EXPORTACAO LTDA EPPRODOVIA BR 101 KM 37-37-SL02 VILA NJOINVILLE</t>
  </si>
  <si>
    <t>IR1172611902461</t>
  </si>
  <si>
    <t>(JW)WELD VISION INDUST E COM DE EQUIPAMENTOS SOLDA E CORTE LTDARODOVIA BR 101 KM 37-37-SL02 VILA NJOINVILLE</t>
  </si>
  <si>
    <t>2019-11-07</t>
  </si>
  <si>
    <t>IR1172611903457</t>
  </si>
  <si>
    <t>IR1172611903673</t>
  </si>
  <si>
    <t>AGROMARKET-ALATI</t>
  </si>
  <si>
    <t>克罗地亚</t>
  </si>
  <si>
    <t>FOB：58000美元</t>
  </si>
  <si>
    <t>SF20190726DR</t>
  </si>
  <si>
    <t>(JW)1/AGROMARKET ALATI DOO2/ZELEZNICKA 73/RS/NISKA BANJA 18000</t>
  </si>
  <si>
    <t>2019-08-01</t>
  </si>
  <si>
    <t>IR1172611902321</t>
  </si>
  <si>
    <t>(JW)1/AGROMARKET DOO2/BULEVAR 12. FEBRUAR 243/RS/NIS (CRVENI KRST) 18106</t>
  </si>
  <si>
    <t>2019-10-24</t>
  </si>
  <si>
    <t>IR1172611903220</t>
  </si>
  <si>
    <t>ALHAYAT IMPORT&amp;EXPORT</t>
  </si>
  <si>
    <t>埃及</t>
  </si>
  <si>
    <t>FOB：62500美元_x000D_</t>
  </si>
  <si>
    <t>SF20190410MM</t>
  </si>
  <si>
    <t>(JW)REMAL ALAWDIAH ALHADITHAH TRADINGEST. P O BOX 24238 ALAAM  SAUDI ARABIAID 4031100783</t>
  </si>
  <si>
    <t>2019-07-04</t>
  </si>
  <si>
    <t>IR1172611902013</t>
  </si>
  <si>
    <t>(JW)UNITED MODERN TRADING EST7966,1 ,MAKKAH ALMOKRAMA 24267-3275K.S.A.ID 4031210351</t>
  </si>
  <si>
    <t>IR1172611903589</t>
  </si>
  <si>
    <t>ROSE GRAPHIX LLC</t>
  </si>
  <si>
    <t>FOB：152700美元</t>
  </si>
  <si>
    <t>20190808PYF</t>
  </si>
  <si>
    <t>(JW)ROSE GRAPHIX LLC5490 LEE STLEHIGH ACRES US FLORIDA</t>
  </si>
  <si>
    <t>2019-07-09</t>
  </si>
  <si>
    <t>IR1172611902069</t>
  </si>
  <si>
    <t>IR1172611902085</t>
  </si>
  <si>
    <t>IR1172611902176</t>
  </si>
  <si>
    <t>IR1172611903200</t>
  </si>
  <si>
    <t>SOUTH AMERICA EQUPIMENT CO,.LTD</t>
  </si>
  <si>
    <t>FOB：55800美元_x000D_</t>
  </si>
  <si>
    <t>SF20190717FLP</t>
  </si>
  <si>
    <t>(JW)SOUTH AMERICA EQUIPMENT ADVERTISING CO., LTD201/65/5 NGUYEN XI STREET, WARD 26,BINH THANH DIST,HO CHI MINH CITY,VN</t>
  </si>
  <si>
    <t>IR1172611902510</t>
  </si>
  <si>
    <t>KSG PRODUCTS</t>
  </si>
  <si>
    <t>新西兰</t>
  </si>
  <si>
    <t>FOB：56000美元_x000D_</t>
  </si>
  <si>
    <t>SF20190808LLQ</t>
  </si>
  <si>
    <t>(JW)1/K S G PRODUCTS LIMITED2/118 SYLVIA ROAD3/NZ/WHANGAMATA6/NZ/WESTPAC NZ/14430164</t>
  </si>
  <si>
    <t>IR1172611902513</t>
  </si>
  <si>
    <t>IR1172611903019</t>
  </si>
  <si>
    <t>"HC DALSNAB" LTD</t>
  </si>
  <si>
    <t>俄罗斯联邦</t>
  </si>
  <si>
    <t>FOB：56550美元_x000D_</t>
  </si>
  <si>
    <t>SF2019072703LCM</t>
  </si>
  <si>
    <t>(JW)HC DALSNAB LTD2543123023,LERMONTOVA 17-37,P.TRUDOVOE,VLADIVOSTOK,RUSSIA</t>
  </si>
  <si>
    <t>2019-08-07</t>
  </si>
  <si>
    <t>IR1172611902373</t>
  </si>
  <si>
    <t>VIET THUAN THIEN COMPANY LIMITED</t>
  </si>
  <si>
    <t>FOB：69000美元_x000D_</t>
  </si>
  <si>
    <t>SF20190905WM</t>
  </si>
  <si>
    <t>(JW)VIET THUAN THIEN COMPANY LIMITEDADD.4TH FLOOR,GIA THY TOWER,158-158A DAO DUY ANH,WARD 9,PHU NHUAN,HO CHI MINH,VIETNAM</t>
  </si>
  <si>
    <t>IR1172611903137</t>
  </si>
  <si>
    <t>(JW)VIET THUAN THIEN COMPANY LIMITEDLAU 4,TOA NHA GIA THY,158 158A DAODUY ANH,PHUONG 9,QUAN PHU NHUANTP.HCM,VIET NAM</t>
  </si>
  <si>
    <t>2019-12-22</t>
  </si>
  <si>
    <t>IR1172611904083</t>
  </si>
  <si>
    <t>MASZYNY POLSKIE.PL.SP.Z O.O.</t>
  </si>
  <si>
    <t>波兰</t>
  </si>
  <si>
    <t>FOB：95000美元_x000D_</t>
  </si>
  <si>
    <t>LM20190903GXL</t>
  </si>
  <si>
    <t>(JW)MASZYNY-POLSKIE PL SP Z O OUL MARII SKLODOWSKIEJ CURIE 4187-100 TORUN PL</t>
  </si>
  <si>
    <t>2019-09-17</t>
  </si>
  <si>
    <t>IR1172611902792</t>
  </si>
  <si>
    <t>2019-09-25</t>
  </si>
  <si>
    <t>IR1172611902860</t>
  </si>
  <si>
    <t>JAVA MACHINERY CO.,LTD</t>
  </si>
  <si>
    <t>FOB：57000美元</t>
  </si>
  <si>
    <t>SF20190822ST</t>
  </si>
  <si>
    <t>(JW)JAVA MACHINE CO.,LTD1244-11 JEONGWANG-DONG, SIHEUNG-SI,GYEONGGI-DO</t>
  </si>
  <si>
    <t>IR1172611903041</t>
  </si>
  <si>
    <t>2019-10-15</t>
  </si>
  <si>
    <t>IR1172611903102</t>
  </si>
  <si>
    <t>LASER VERONESE DI CHEN</t>
  </si>
  <si>
    <t>FOB：75500美元_x000D_</t>
  </si>
  <si>
    <t>LM20190917YLL</t>
  </si>
  <si>
    <t>(JW)1/LASER VERONESE DI CHEN DEZHOU2/VIA PRIMO MAGGIO 183/IT/BUSSOLENGO VR</t>
  </si>
  <si>
    <t>IR1172611902865</t>
  </si>
  <si>
    <t>IR1172611903022</t>
  </si>
  <si>
    <t>MASZYNY-POLSKIE.PL SP.Z O.O.</t>
  </si>
  <si>
    <t>FOB：110000美元</t>
  </si>
  <si>
    <t>SF20190914GXL</t>
  </si>
  <si>
    <t>IR1172611903436</t>
  </si>
  <si>
    <t>FOB：117000美元_x000D_</t>
  </si>
  <si>
    <t>SF20190823ST</t>
  </si>
  <si>
    <t>IR1172611903524</t>
  </si>
  <si>
    <t>FOB：124560美元_x000D_</t>
  </si>
  <si>
    <t>20190920PYF</t>
  </si>
  <si>
    <t>IR1172611903426</t>
  </si>
  <si>
    <t>IR1172611903424</t>
  </si>
  <si>
    <t>IR1172611902862</t>
  </si>
  <si>
    <t>FOB：130000美元</t>
  </si>
  <si>
    <t>SF20191012YLL</t>
  </si>
  <si>
    <t>2019-10-18</t>
  </si>
  <si>
    <t>IR1172611903178</t>
  </si>
  <si>
    <t>(JW)LASER VERONESE DI CHENVIA VERONA 1237060 SONA VRITALY</t>
  </si>
  <si>
    <t>2019-10-25</t>
  </si>
  <si>
    <t>IR1172611903230</t>
  </si>
  <si>
    <t>IR1172611903561</t>
  </si>
  <si>
    <t>2019-11-28</t>
  </si>
  <si>
    <t>IR1172611903761</t>
  </si>
  <si>
    <t>LEDFORYOU CO.,LTD</t>
  </si>
  <si>
    <t>FOB：57060美元</t>
  </si>
  <si>
    <t>SF20191014ST</t>
  </si>
  <si>
    <t>(JW)LEDFORYOU CO.,LTD359-4 DESSANGRYUNGRI CHOWALEUP KWANGJUCITY KYUNGGIDO KOREA</t>
  </si>
  <si>
    <t>IR1172611903186</t>
  </si>
  <si>
    <t>2019-10-30</t>
  </si>
  <si>
    <t>IR1172611903257</t>
  </si>
  <si>
    <t>IR1172611903487</t>
  </si>
  <si>
    <t>2019-11-09</t>
  </si>
  <si>
    <t>IR1172611903480</t>
  </si>
  <si>
    <t>LOGOS MEDIA SP Z O O</t>
  </si>
  <si>
    <t>FOB：58000美元_x000D_</t>
  </si>
  <si>
    <t>DR201910261</t>
  </si>
  <si>
    <t>(JW)LOGOS MEDIASPOLKA Z OGRANICZONA ODPOWIEDZIALNOSCIAUL. PODOLSKA 18 48-303 NYSA PL</t>
  </si>
  <si>
    <t>IR1172611902864</t>
  </si>
  <si>
    <t>IR1172611903051</t>
  </si>
  <si>
    <t>IR1172611904059</t>
  </si>
  <si>
    <t>MERCADO MACHINERY S.A DE C.V</t>
  </si>
  <si>
    <t>FOB：59800美元_x000D_</t>
  </si>
  <si>
    <t>20190917PYF</t>
  </si>
  <si>
    <t>(JW)BESCUTTER CANADA INC10 PLACE DES AFFLUENTSBOIS DES FILION QC CA J6Z 4V4</t>
  </si>
  <si>
    <t>IR1172611903751</t>
  </si>
  <si>
    <t>FOB：67080美元</t>
  </si>
  <si>
    <t>SF20190830ST</t>
  </si>
  <si>
    <t>IR1172611903488</t>
  </si>
  <si>
    <t>(JW)JAVA MACHINE CO.,LTD1244 11 JEONGWANG DONG, SIHEUNG SI,GYEONGGI DO</t>
  </si>
  <si>
    <t>IR1172611903853</t>
  </si>
  <si>
    <t>IR1172611904045</t>
  </si>
  <si>
    <t>FOB：68800美元</t>
  </si>
  <si>
    <t>20190817PYF</t>
  </si>
  <si>
    <t>IR1172611903419</t>
  </si>
  <si>
    <t>TOPREMA D O O</t>
  </si>
  <si>
    <t>斯洛文尼亚</t>
  </si>
  <si>
    <t>FOB：163500欧元</t>
  </si>
  <si>
    <t>SF20190822LJY</t>
  </si>
  <si>
    <t>(JW)TOPREMA D.O.O.INDUSTRIJSKA CESTA 51290 GROSUPLJESLOVENIJA</t>
  </si>
  <si>
    <t>IR1172611903262</t>
  </si>
  <si>
    <t>SEIKI TECH MEXICO SA DE CV</t>
  </si>
  <si>
    <t>FOB：75269美元_x000D_</t>
  </si>
  <si>
    <t>SF20191008CDY-2</t>
  </si>
  <si>
    <t>(JW)SEIKI TECH MEXICO, S.A. DE C.V.DEL NORTE 211, LAS , C.P. 67128, GUADALUPE, NUEVO LEON,MEXICO</t>
  </si>
  <si>
    <t>IR1172611903710</t>
  </si>
  <si>
    <t>FOB：87000美元_x000D_</t>
  </si>
  <si>
    <t>SF20191025GXL</t>
  </si>
  <si>
    <t>IR1172611903655</t>
  </si>
  <si>
    <t>(JW)MASZYNY POLSKIE PL SP Z O OUL MARII SKLODOWSKIEJ CURIE 4187 100 TORUN PL</t>
  </si>
  <si>
    <t>2019-12-10</t>
  </si>
  <si>
    <t>IR1172611903907</t>
  </si>
  <si>
    <t>MASZYNY POLSKIE PL SP Z O O</t>
  </si>
  <si>
    <t>FOB：90000美元_x000D_</t>
  </si>
  <si>
    <t>SF20190913GXL</t>
  </si>
  <si>
    <t>IR1172611903177</t>
  </si>
  <si>
    <t>LT MEDIA(THAILAND)CO LTD</t>
  </si>
  <si>
    <t>FOB：92633美元</t>
  </si>
  <si>
    <t>SF20191014LLQ</t>
  </si>
  <si>
    <t>(JW)1/L T MEDIA THAILAND CO.,LTD.2/180 SOI. LADPRAO 124 SAWATDIKARN2/PLUBPLA3/TH/BANGKOK WANGTHONGLANG</t>
  </si>
  <si>
    <t>2019-11-04</t>
  </si>
  <si>
    <t>IR1172611903418</t>
  </si>
  <si>
    <t>FOB：198000美元</t>
  </si>
  <si>
    <t>20191010PYF</t>
  </si>
  <si>
    <t>(JW)ROSE GRAPHIX LLC5490 LEE STLEHIGH ACRES  FL 33971 US</t>
  </si>
  <si>
    <t>2019-12-03</t>
  </si>
  <si>
    <t>IR1172611903829</t>
  </si>
  <si>
    <t>(JW)ROSE GRAPHIX LLC 5490 LEE STLEHIGH ACRES FL 33971   US</t>
  </si>
  <si>
    <t>IR1172611903943</t>
  </si>
  <si>
    <t>IR1172611903229</t>
  </si>
  <si>
    <t>JAVA MACHINE CO.,LTD</t>
  </si>
  <si>
    <t>FOB：105080美元_x000D_</t>
  </si>
  <si>
    <t>SF20191102ST/SF20191101ST</t>
  </si>
  <si>
    <t>IR1172611904076</t>
  </si>
  <si>
    <t>SC ROMA2S TRANSYLVANIA INGENIERIE SRL</t>
  </si>
  <si>
    <t>罗马尼亚</t>
  </si>
  <si>
    <t>FOB：112243美元</t>
  </si>
  <si>
    <t>LMCQ20190917</t>
  </si>
  <si>
    <t>(JW)ROMA2S TRANSYLVANIA INGINERIE SRL47 STR.SFANTA VINERI, BL CAMERA, ETP, MUN PITESTI, ARGESROMANIA 110024</t>
  </si>
  <si>
    <t>2019-09-27</t>
  </si>
  <si>
    <t>IR1172611902893</t>
  </si>
  <si>
    <t>(JW)ROMA2S TRANSYLVANIA INGINERIE SRL47 STR SFANTA VINERI BL CAMERA  ETP  MUN PITESTI  ARGESROMANIA 110024</t>
  </si>
  <si>
    <t>IR1172611903986</t>
  </si>
  <si>
    <t>FOB：274500美元</t>
  </si>
  <si>
    <t>20190711PYF</t>
  </si>
  <si>
    <t>(JW)ROSE GRAPHIX LLC 5490 LEE STLEHIGH ACRES  FL 33971  US</t>
  </si>
  <si>
    <t>IR1172611904003</t>
  </si>
  <si>
    <t>(JW)ROSE GRAPHIX LLC5490 LEE STLEHIGH ACRES  FL 33971   US</t>
  </si>
  <si>
    <t>2019-11-15</t>
  </si>
  <si>
    <t>IR1172611903543</t>
  </si>
  <si>
    <t>(JW)ROSE GRAPHIX LLC5490 LEE STLEHIGH ACRES      FL 33971      US</t>
  </si>
  <si>
    <t>IR1172611903541</t>
  </si>
  <si>
    <t>(JW)ROSE GRAPHIX LLC 5490 LEE STLEHIGH ACRES FL 33971  US</t>
  </si>
  <si>
    <t>IR1172611903557</t>
  </si>
  <si>
    <t>SUMINISTROS DIGITALES SAS.</t>
  </si>
  <si>
    <t>哥伦比亚</t>
  </si>
  <si>
    <t>FOB：54910美元_x000D_</t>
  </si>
  <si>
    <t>SF20191108CDY</t>
  </si>
  <si>
    <t>(JW)SUMINISTROS DIGITALES SASAC 72 N 20A 23BOGOTA COLOMBIA</t>
  </si>
  <si>
    <t>IR1172611903567</t>
  </si>
  <si>
    <t>AIR CONFLEX INDUSTRY L.L.C</t>
  </si>
  <si>
    <t>FOB：56500美元</t>
  </si>
  <si>
    <t>SF20191029E</t>
  </si>
  <si>
    <t>(JW)AIR MASTER EQUIPMENTS EMIRATES LLCNEW INDUSTRIAL AREA ,AJMAN,UAE</t>
  </si>
  <si>
    <t>IR1172611903504</t>
  </si>
  <si>
    <t>(JW)AIR MASTER EQUIPMENTS EMIRATESLLCNEW INDUSTRIAL AREA ,AJMAN,UAE</t>
  </si>
  <si>
    <t>IR1172611903707</t>
  </si>
  <si>
    <t>SOC.COM.Y METALURGICA GOMEZ LTDA</t>
  </si>
  <si>
    <t>智利</t>
  </si>
  <si>
    <t>FOB：62230美元_x000D_</t>
  </si>
  <si>
    <t>SF20191101YMM</t>
  </si>
  <si>
    <t>(JW)GOMEZ CASTILLO RODOLFO SILVERIOPASAJE MEZA BELL 2457SANTIAGO CHILE</t>
  </si>
  <si>
    <t>IR1172611903405</t>
  </si>
  <si>
    <t>(JW)RODOLFO GOMEZ CASTILLO PSJE MEZA BELL 2457 QUINTA NORMAL SANTIAGOSI20500 CHILE</t>
  </si>
  <si>
    <t>IR1172611903559</t>
  </si>
  <si>
    <t>IPM TECHNOLOGY SDN BHD</t>
  </si>
  <si>
    <t>FOB：63370美元_x000D_</t>
  </si>
  <si>
    <t>SF20191031SCC</t>
  </si>
  <si>
    <t>(JW)IPM TECHNOLOGY SDN BHDNO. 17 JALAN RIANG 20KAWASAN PERINDUSTRIAN TAMAN GEMBIRAMALAYSIA</t>
  </si>
  <si>
    <t>IR1172611903928</t>
  </si>
  <si>
    <t>PT ATLANTA TEKNO MEKANIKA</t>
  </si>
  <si>
    <t>印度尼西亚</t>
  </si>
  <si>
    <t>FOB：66460美元_x000D_</t>
  </si>
  <si>
    <t>SF20190917F</t>
  </si>
  <si>
    <t>(JW)1 PT ATLANTA TEKNO MEKANIKA 2 DUTA INDAH ICONIC C15 POSTAL CODE 2 151413 ID TANGERANG</t>
  </si>
  <si>
    <t>IR1172611903984</t>
  </si>
  <si>
    <t>(JW)PT ATLANTA TEKNO MEKANIKAKOMPLEKS PERGUDANGAN DUTA INDAH INIC BLOK C15 POST CODE 15117ID TANGERANG</t>
  </si>
  <si>
    <t>IR1172611904145</t>
  </si>
  <si>
    <t>LAVA SISTEMI DOO</t>
  </si>
  <si>
    <t>FOB：71000美元_x000D_</t>
  </si>
  <si>
    <t>LM20190808GXL</t>
  </si>
  <si>
    <t>(JW)LAVA SISTEMI DOOSUVOBORSKA 1POZEGA SRB</t>
  </si>
  <si>
    <t>IR1172611903915</t>
  </si>
  <si>
    <t>TECHNOGRAV LLC</t>
  </si>
  <si>
    <t>FOB：74170美元_x000D_</t>
  </si>
  <si>
    <t>SF191128905Y/SF1910105Y</t>
  </si>
  <si>
    <t>(JW)TECHNOGRAV LLCTALLINSKAYA STR, 5, LIT A, PREM 107SANKT PETERBURG RUINN 7806269200</t>
  </si>
  <si>
    <t>IR1172611904149</t>
  </si>
  <si>
    <t>IR1172611904200</t>
  </si>
  <si>
    <t>OOO"SIMPEX PLUS"</t>
  </si>
  <si>
    <t>FOB：168200美元</t>
  </si>
  <si>
    <t>SF20190920LCM</t>
  </si>
  <si>
    <t>(JW)OBSCHESTVO S OGRANICHENNOI OTVETSTVENNOSTYU TEHSTKOMMKR 7, 10, 45KRASNOOBSK, RU,INN 5433969161</t>
  </si>
  <si>
    <t>2019-10-08</t>
  </si>
  <si>
    <t>IR1172611902970</t>
  </si>
  <si>
    <t>IR1172611903771</t>
  </si>
  <si>
    <t>FOB：76000美元</t>
  </si>
  <si>
    <t>20190924PYF</t>
  </si>
  <si>
    <t>(JW)ROSE GRAPHIX LLC5490 LEE STLEHIGH ACRES FL 33971 US</t>
  </si>
  <si>
    <t>IR1172611903714</t>
  </si>
  <si>
    <t>FOB：78850美元_x000D_</t>
  </si>
  <si>
    <t>20190915PYF</t>
  </si>
  <si>
    <t>IR1172611904148</t>
  </si>
  <si>
    <t>DAR ELHAMD</t>
  </si>
  <si>
    <t>FOB：85263美元</t>
  </si>
  <si>
    <t>SF20191101B0</t>
  </si>
  <si>
    <t>(JW)DAR ELHAMD53 TAHA HUSSIEN STNEW NOZHACAIRO EGYPT</t>
  </si>
  <si>
    <t>IR1172611903502</t>
  </si>
  <si>
    <t>(JW)DAR ELHAMD 53 TAHA HUSSIEN STNEW NOZHACAIRO EGYPT</t>
  </si>
  <si>
    <t>IR1172611903833</t>
  </si>
  <si>
    <t>FOB：91000美元_x000D_</t>
  </si>
  <si>
    <t>SF20190929LY</t>
  </si>
  <si>
    <t>(JW)MAKAEN ALKALEG TRADE EST6887,TAREEQ ALKHRG ALFRAY ,ALRIYADH14321-2673-K.S.A.ID 1010287602</t>
  </si>
  <si>
    <t>IR1172611903047</t>
  </si>
  <si>
    <t>(JW)MAKAEN ALKALEG TRADE EST 6887 TAREEQ ALKHRG ALFRAY ALRIYADH14321 2673 K S A ID 1010287602</t>
  </si>
  <si>
    <t>IR1172611904112</t>
  </si>
  <si>
    <t>FOB：94000美元_x000D_</t>
  </si>
  <si>
    <t>20191012PYF</t>
  </si>
  <si>
    <t>IR1172611903635</t>
  </si>
  <si>
    <r>
      <rPr>
        <b/>
        <sz val="16"/>
        <rFont val="宋体"/>
        <family val="3"/>
        <charset val="134"/>
      </rPr>
      <t>合计：</t>
    </r>
  </si>
  <si>
    <t>申请金额（万元）：</t>
  </si>
  <si>
    <t>计算得出（万元）：</t>
  </si>
  <si>
    <t>2019.7-2020.6 国际服务外包业务收入明细清单</t>
  </si>
  <si>
    <t>结汇日期</t>
  </si>
  <si>
    <t>所属项目及合同编号</t>
  </si>
  <si>
    <t>金额
（美元）</t>
  </si>
  <si>
    <t>汇率</t>
  </si>
  <si>
    <t>金额
（人民币元）</t>
  </si>
  <si>
    <t>含设备折算服务费用的换算比例</t>
  </si>
  <si>
    <t>折算后金额
（人民币元）</t>
  </si>
  <si>
    <t>（一）纯服务外包业务项目</t>
  </si>
  <si>
    <t>370000001801190820N003</t>
  </si>
  <si>
    <t>印度SMIORE年产40万吨非回收型立式焦炉项目专业服务合同，合同号GJ-2018-0424</t>
  </si>
  <si>
    <t>370000001801191128N003</t>
  </si>
  <si>
    <t>370000001801200117N002</t>
  </si>
  <si>
    <t>370000001801200120N003</t>
  </si>
  <si>
    <t>370000001801190924N004</t>
  </si>
  <si>
    <t>印度ESSAR煤气柜项目服务费合同，合同号ESTL-DTA/SCC/5200012004</t>
  </si>
  <si>
    <t>370000001801191223N002</t>
  </si>
  <si>
    <t>印度NEO高炉改造设计服务合同，合同号1GJ-2019-ES-GW-014</t>
  </si>
  <si>
    <t>370000001801191122N001</t>
  </si>
  <si>
    <t>印度TML设计合同，合同号 5300000003</t>
  </si>
  <si>
    <t>370000001801200320N002</t>
  </si>
  <si>
    <t>小计：</t>
  </si>
  <si>
    <t>（二）包含设备产品供货的服务外包业务项目</t>
  </si>
  <si>
    <t>110000018501191018N01G</t>
  </si>
  <si>
    <t>伊朗年产500万吨选矿项目，合同号I181-C-101</t>
  </si>
  <si>
    <t>110000018501191018N01H</t>
  </si>
  <si>
    <t>服务外包业务收汇金额总计（贴息本金）（单位：人民币元）：</t>
  </si>
  <si>
    <t>贴息支持金额（=贴息本金×LPR）
【注：2020年6月30日前最近一期人民币一年期贷款市场报价利率（LPR）=3.85%】</t>
  </si>
  <si>
    <t>公司名称</t>
  </si>
  <si>
    <t>合同对应页码</t>
  </si>
  <si>
    <t>凭证编号</t>
  </si>
  <si>
    <t>凭证日期</t>
  </si>
  <si>
    <t>合同收汇金额</t>
  </si>
  <si>
    <t>收汇凭证对应页码</t>
  </si>
  <si>
    <t>收汇金额中服务外包金额（人民币元）</t>
  </si>
  <si>
    <t>本币金额</t>
  </si>
  <si>
    <t>显示货币金额</t>
  </si>
  <si>
    <t>总帐货币</t>
  </si>
  <si>
    <t>LNPV-WQ-4342-1</t>
  </si>
  <si>
    <t>WQ INC</t>
  </si>
  <si>
    <t>4-8</t>
  </si>
  <si>
    <t>JPY</t>
  </si>
  <si>
    <t>LNPV-WQ-4408-1</t>
  </si>
  <si>
    <t>4-17</t>
  </si>
  <si>
    <t>LN-EK01904815-P-1</t>
  </si>
  <si>
    <t>25-27</t>
  </si>
  <si>
    <t>IBC</t>
  </si>
  <si>
    <t>4-18</t>
  </si>
  <si>
    <t>LNPV-WQ-4611-1</t>
  </si>
  <si>
    <t>4-79</t>
  </si>
  <si>
    <t>EK22000627</t>
  </si>
  <si>
    <t>29-30</t>
  </si>
  <si>
    <t>4-80</t>
  </si>
  <si>
    <t>WQ-4628</t>
  </si>
  <si>
    <t>4-81</t>
  </si>
  <si>
    <t>EK22000791</t>
  </si>
  <si>
    <t>32-34</t>
  </si>
  <si>
    <t>4-82</t>
  </si>
  <si>
    <t>LNPV-WQ-4539-1，4654</t>
  </si>
  <si>
    <t>35、36</t>
  </si>
  <si>
    <t>4-84</t>
  </si>
  <si>
    <t>EK22000628，EK22000635，EK22000918</t>
  </si>
  <si>
    <t>37-40、41-42、43-54</t>
  </si>
  <si>
    <t>4-85</t>
  </si>
  <si>
    <t>LNPV-WQ-4539-1</t>
  </si>
  <si>
    <t>4-86</t>
  </si>
  <si>
    <t>LN-EK01904815-P-2</t>
  </si>
  <si>
    <t>4-108</t>
  </si>
  <si>
    <t>LNPV-SOLARWATT-200109-1</t>
  </si>
  <si>
    <t>55-57</t>
  </si>
  <si>
    <t>SOLARWATT</t>
  </si>
  <si>
    <t>4-109</t>
  </si>
  <si>
    <t>LNPV-AD-20200228-1</t>
  </si>
  <si>
    <t>荒川电工</t>
  </si>
  <si>
    <t>4-187</t>
  </si>
  <si>
    <t xml:space="preserve">LNPV-AD-20200212-1 </t>
  </si>
  <si>
    <t>4-188</t>
  </si>
  <si>
    <t>4-190</t>
  </si>
  <si>
    <t>4628,4654,WQ_PO_4675</t>
  </si>
  <si>
    <t>31/36/60</t>
  </si>
  <si>
    <t>4-191</t>
  </si>
  <si>
    <t>4-192</t>
  </si>
  <si>
    <t>LNPV-200204-P-1</t>
  </si>
  <si>
    <t xml:space="preserve">SUNLX </t>
  </si>
  <si>
    <t>4-193</t>
  </si>
  <si>
    <t>EK22000977</t>
  </si>
  <si>
    <t>62-66</t>
  </si>
  <si>
    <t>4-194</t>
  </si>
  <si>
    <t>LN-EK22000627-P-1，EK22000791</t>
  </si>
  <si>
    <t>29-30/32-34</t>
  </si>
  <si>
    <t>4-195</t>
  </si>
  <si>
    <t>EK22001058，EK22001063</t>
  </si>
  <si>
    <t>67-68/69-70</t>
  </si>
  <si>
    <t>4-196</t>
  </si>
  <si>
    <t>LN-EK22000627-P-2，EK22001124，EK22001125，EK22001126</t>
  </si>
  <si>
    <t>29-30/71-74/75-78/79-81</t>
  </si>
  <si>
    <t>4-197</t>
  </si>
  <si>
    <t>LN-EK22000977-P-1</t>
  </si>
  <si>
    <t>4-198</t>
  </si>
  <si>
    <t>LN-EK22000918-M-1，EK22001124</t>
  </si>
  <si>
    <t>43-54、71-74</t>
  </si>
  <si>
    <t>4-199</t>
  </si>
  <si>
    <t>LNPV-WQ-4781</t>
  </si>
  <si>
    <t>4-410</t>
  </si>
  <si>
    <t>LNPV-AD-20200327-1</t>
  </si>
  <si>
    <t>4-411</t>
  </si>
  <si>
    <t>4-412</t>
  </si>
  <si>
    <t>4-413</t>
  </si>
  <si>
    <t>WQ_PO_4816\4819</t>
  </si>
  <si>
    <t>84/85</t>
  </si>
  <si>
    <t>4-414</t>
  </si>
  <si>
    <t>WQ_PO_4813\4816\4819\4822\4808\4830\4833</t>
  </si>
  <si>
    <t>86/84/85/87/88/89/90</t>
  </si>
  <si>
    <t>4-415</t>
  </si>
  <si>
    <t>WQ_PO_4822，WQ_PO_4906</t>
  </si>
  <si>
    <t>87/91</t>
  </si>
  <si>
    <t>4-416</t>
  </si>
  <si>
    <t>EK22001070，LN-EK22000628-M-1，LN-EK22000635-M-1，LN-EK22000918-M-3</t>
  </si>
  <si>
    <t>92-94、37-40、41-42、43-54</t>
  </si>
  <si>
    <t>4-425</t>
  </si>
  <si>
    <t>LN-EK22001126-P-1</t>
  </si>
  <si>
    <t>79-81</t>
  </si>
  <si>
    <t>4-426</t>
  </si>
  <si>
    <t>LN-EK22001125-P-1</t>
  </si>
  <si>
    <t>75-78</t>
  </si>
  <si>
    <t>4-427</t>
  </si>
  <si>
    <t>LN-EK22001058-M-1，LN-EK22001063-M-1</t>
  </si>
  <si>
    <t>4-428</t>
  </si>
  <si>
    <t>LN-EK22000628-M-2，LN-EK22000635-M-2，LN-EK22000635-M-3</t>
  </si>
  <si>
    <t>37-40、41-42</t>
  </si>
  <si>
    <t>4-429</t>
  </si>
  <si>
    <t>LN-EK22000918-M-2</t>
  </si>
  <si>
    <t>43-54</t>
  </si>
  <si>
    <t>4-443</t>
  </si>
  <si>
    <t>LN-EK22000635-M-4</t>
  </si>
  <si>
    <t>41-42</t>
  </si>
  <si>
    <t>4-444</t>
  </si>
  <si>
    <t>LNPV-WQ-4813，LNPV-WQ-4808</t>
  </si>
  <si>
    <t>86/88</t>
  </si>
  <si>
    <t>4-567</t>
  </si>
  <si>
    <t>LNPV-WQ-4813-4958，LNPV-WQ-4906</t>
  </si>
  <si>
    <t>86/95/91</t>
  </si>
  <si>
    <t>4-568</t>
  </si>
  <si>
    <t>EK22001082</t>
  </si>
  <si>
    <t>96-99</t>
  </si>
  <si>
    <t>4-569</t>
  </si>
  <si>
    <t>LN-EK22001058-M-2，LN-EK22001063-M-2，LN-EK22001070-M-1</t>
  </si>
  <si>
    <t>67-68/69-70/92-94</t>
  </si>
  <si>
    <t>4-570</t>
  </si>
  <si>
    <t>LN-EK22001058-M-3，LN-EK22001063-M-3，LN-EK22001063-M-4，LN-EK22001070-M-2</t>
  </si>
  <si>
    <t>4-571</t>
  </si>
  <si>
    <t>LNPV-AD-20190520-1，LNPV-AD-20190603-1</t>
  </si>
  <si>
    <t>100/101</t>
  </si>
  <si>
    <t>4-698</t>
  </si>
  <si>
    <t>LNPV-AD-20190612-3</t>
  </si>
  <si>
    <t>THC CO.,LTD</t>
  </si>
  <si>
    <t>4-699</t>
  </si>
  <si>
    <t>LNPV-CP-20190625-1</t>
  </si>
  <si>
    <t>4-700</t>
  </si>
  <si>
    <t>LNPV-AD-20190520-2</t>
  </si>
  <si>
    <t>4-701</t>
  </si>
  <si>
    <t>4-702</t>
  </si>
  <si>
    <t>HIYA-20190711</t>
  </si>
  <si>
    <t>HIYAKUYO</t>
  </si>
  <si>
    <t>4-704</t>
  </si>
  <si>
    <t>192-002</t>
  </si>
  <si>
    <t>4-746</t>
  </si>
  <si>
    <t>LNPV-EK01901838-P-1</t>
  </si>
  <si>
    <t>107-109</t>
  </si>
  <si>
    <t>4-748</t>
  </si>
  <si>
    <t>EK01903117</t>
  </si>
  <si>
    <t>110-111</t>
  </si>
  <si>
    <t>4-755</t>
  </si>
  <si>
    <t>LNPV-192004-P-1</t>
  </si>
  <si>
    <t>4-756</t>
  </si>
  <si>
    <t>LNPV-192003-P-1</t>
  </si>
  <si>
    <t>4-763</t>
  </si>
  <si>
    <t>LN-EK22001082-M-4</t>
  </si>
  <si>
    <t>4-815</t>
  </si>
  <si>
    <t>LNPV-NS-20200604-1</t>
  </si>
  <si>
    <t>114-120</t>
  </si>
  <si>
    <t xml:space="preserve">NISSEI </t>
  </si>
  <si>
    <t>4-816</t>
  </si>
  <si>
    <t>WQ_PO_5026，WQ_PO_5029</t>
  </si>
  <si>
    <t>121/122</t>
  </si>
  <si>
    <t>4-817</t>
  </si>
  <si>
    <t>LNPV-20200527-1</t>
  </si>
  <si>
    <t>LIFE</t>
  </si>
  <si>
    <t>4-818</t>
  </si>
  <si>
    <t xml:space="preserve">LNPV-AD-20200513-1 </t>
  </si>
  <si>
    <t>4-819</t>
  </si>
  <si>
    <t>226-227</t>
  </si>
  <si>
    <t xml:space="preserve">LNPV-AD-20200626-1 </t>
  </si>
  <si>
    <t>125-127</t>
  </si>
  <si>
    <t>4-820</t>
  </si>
  <si>
    <t>WQ_PO_5026，WQ_PO_5029，WQ_PO_4830，WQ_PO_4833</t>
  </si>
  <si>
    <t>121/122/89/90</t>
  </si>
  <si>
    <t>4-821</t>
  </si>
  <si>
    <t>NISSEI</t>
  </si>
  <si>
    <t>4-822</t>
  </si>
  <si>
    <t>LN-EK22000628-EK22001070-EK22001082</t>
  </si>
  <si>
    <t>37-40/92-94/96-99</t>
  </si>
  <si>
    <t>4-823</t>
  </si>
  <si>
    <t>4-845</t>
  </si>
  <si>
    <t>EK01903118</t>
  </si>
  <si>
    <t>128-129</t>
  </si>
  <si>
    <t>4-846</t>
  </si>
  <si>
    <t>LNPV-EK01903117-P-1</t>
  </si>
  <si>
    <t>4-876</t>
  </si>
  <si>
    <t>4-901</t>
  </si>
  <si>
    <t>LNPV-AD-20190730-1、2、3</t>
  </si>
  <si>
    <t>130-132</t>
  </si>
  <si>
    <t>4-915</t>
  </si>
  <si>
    <t>LNPV-CP-20190716-1</t>
  </si>
  <si>
    <t>4-923</t>
  </si>
  <si>
    <t>LNPV-CP-20190724-1\LNPV-CP-20190725-1</t>
  </si>
  <si>
    <t>134/135</t>
  </si>
  <si>
    <t>4-924</t>
  </si>
  <si>
    <t>LNPV-AD-20190805-1</t>
  </si>
  <si>
    <t>4-927</t>
  </si>
  <si>
    <t>1900805-11</t>
  </si>
  <si>
    <t>4-928</t>
  </si>
  <si>
    <t>LNPV-EK01903117-P-2，EK01903126</t>
  </si>
  <si>
    <t>110-111、138-139</t>
  </si>
  <si>
    <t>4-932</t>
  </si>
  <si>
    <t>LNPV-AD-20190520-2，LNPV-AD-20190730-1、2、3，LNPV-AD-20190628-5</t>
  </si>
  <si>
    <t>104/130-132/140</t>
  </si>
  <si>
    <t>4-933</t>
  </si>
  <si>
    <t>242-243</t>
  </si>
  <si>
    <t>LNPV-192006-P-1</t>
  </si>
  <si>
    <t>4-1120</t>
  </si>
  <si>
    <t>LNPV-EK01903118-P-1</t>
  </si>
  <si>
    <t>4-1121</t>
  </si>
  <si>
    <t>LNPV-EK01903126-P-2</t>
  </si>
  <si>
    <t>138-139</t>
  </si>
  <si>
    <t>4-1122</t>
  </si>
  <si>
    <t>LNPV-AD-20190828-1，LNPV-AD-20190828-2</t>
  </si>
  <si>
    <t>142/143</t>
  </si>
  <si>
    <t>4-1123</t>
  </si>
  <si>
    <t>4-1124</t>
  </si>
  <si>
    <t>LNPV-CP-20190729-1，LNPV-CP-20190823-1，LNPV-CP-20190823-2</t>
  </si>
  <si>
    <t>144/145/146</t>
  </si>
  <si>
    <t>4-1125</t>
  </si>
  <si>
    <t>LNPV-EK01903126-P-1</t>
  </si>
  <si>
    <t>4-1126</t>
  </si>
  <si>
    <t>EK01903761</t>
  </si>
  <si>
    <t>147-148</t>
  </si>
  <si>
    <t>4-1127</t>
  </si>
  <si>
    <t>LNPV-EK01903117-P-3</t>
  </si>
  <si>
    <t>4-1128</t>
  </si>
  <si>
    <t>4-1129</t>
  </si>
  <si>
    <t>4-1252</t>
  </si>
  <si>
    <t>LN-EK01903761-P-2</t>
  </si>
  <si>
    <t>4-1253</t>
  </si>
  <si>
    <t>LNPV-EK01903118-P-3，LNPV-EK01903126-P-3</t>
  </si>
  <si>
    <t>128-129/138-139</t>
  </si>
  <si>
    <t>4-1254</t>
  </si>
  <si>
    <t>LNPV-AD-20190828-1，LNPV-AD-20190828-2，LNPV-AD-20190828-3，LNPV-AD-20190730-4</t>
  </si>
  <si>
    <t>142/143/149</t>
  </si>
  <si>
    <t>4-1293</t>
  </si>
  <si>
    <t>1900919-11</t>
  </si>
  <si>
    <t>4-1295</t>
  </si>
  <si>
    <t>LNPV-EK01903118-P-2</t>
  </si>
  <si>
    <t>4-1306</t>
  </si>
  <si>
    <t>LN-EK01903761-P-1，LN-EK01903764-P-1，LN-EK01903764-P-2</t>
  </si>
  <si>
    <t>147-148/151-153</t>
  </si>
  <si>
    <t>4-1314</t>
  </si>
  <si>
    <t>1901008-21</t>
  </si>
  <si>
    <t>4-1446</t>
  </si>
  <si>
    <t>LNPV-CP-20191008-1，LNPV-CP-20191016-1，LNPV-CP-20190820-1</t>
  </si>
  <si>
    <t>155/156/157</t>
  </si>
  <si>
    <t>4-1447</t>
  </si>
  <si>
    <t>LN-EK01903764-P-1</t>
  </si>
  <si>
    <t>151-153</t>
  </si>
  <si>
    <t>4-1448</t>
  </si>
  <si>
    <t>LNPV-CP-20191029-1</t>
  </si>
  <si>
    <t>4-1449</t>
  </si>
  <si>
    <t>4-1450</t>
  </si>
  <si>
    <t>LNPV-WQ-4260-1</t>
  </si>
  <si>
    <t>4-1451</t>
  </si>
  <si>
    <t>LN1910M001</t>
  </si>
  <si>
    <t>160-164</t>
  </si>
  <si>
    <t>COMPASS</t>
  </si>
  <si>
    <t>4-1452</t>
  </si>
  <si>
    <t>4-1453</t>
  </si>
  <si>
    <t>LNPV-192007-P-1</t>
  </si>
  <si>
    <t>4-1454</t>
  </si>
  <si>
    <t>LNPV-WQ-4274-1</t>
  </si>
  <si>
    <t>4-1469</t>
  </si>
  <si>
    <t>EK01904815</t>
  </si>
  <si>
    <t>4-1470</t>
  </si>
  <si>
    <t>4-1471</t>
  </si>
  <si>
    <t>4-1512</t>
  </si>
  <si>
    <t>4-1513</t>
  </si>
  <si>
    <t>4-1522</t>
  </si>
  <si>
    <t>LN-EK01903764-P-2</t>
  </si>
  <si>
    <t>4-1527</t>
  </si>
  <si>
    <t>4-1531</t>
  </si>
  <si>
    <t>LNPV-LNPW-20191115</t>
  </si>
  <si>
    <t>4-1532</t>
  </si>
  <si>
    <t>4-1533</t>
  </si>
  <si>
    <t>279-280</t>
  </si>
  <si>
    <t>-</t>
  </si>
  <si>
    <t>回单情况</t>
  </si>
  <si>
    <t>涉外申报单</t>
  </si>
  <si>
    <t>合同</t>
  </si>
  <si>
    <t>日期</t>
  </si>
  <si>
    <r>
      <rPr>
        <sz val="10"/>
        <color theme="1"/>
        <rFont val="宋体"/>
        <family val="3"/>
        <charset val="134"/>
      </rPr>
      <t>付款人</t>
    </r>
  </si>
  <si>
    <t>国别</t>
  </si>
  <si>
    <r>
      <rPr>
        <sz val="10"/>
        <color theme="1"/>
        <rFont val="宋体"/>
        <family val="3"/>
        <charset val="134"/>
      </rPr>
      <t>美元金额</t>
    </r>
  </si>
  <si>
    <r>
      <rPr>
        <sz val="10"/>
        <color theme="1"/>
        <rFont val="宋体"/>
        <family val="3"/>
        <charset val="134"/>
      </rPr>
      <t>汇率</t>
    </r>
  </si>
  <si>
    <t>人民币金额（实际结汇到账）</t>
  </si>
  <si>
    <t>收款行</t>
  </si>
  <si>
    <t>JOONGWON CO.,LTD</t>
  </si>
  <si>
    <t>青农</t>
  </si>
  <si>
    <t>YX19-543</t>
  </si>
  <si>
    <t>FUJIX CO.,LTD.</t>
  </si>
  <si>
    <t>YX19-428/544</t>
  </si>
  <si>
    <t>Dain cleantec co.,Ltd</t>
  </si>
  <si>
    <t>YX19-379</t>
  </si>
  <si>
    <t>SN WORLD CO., LTD</t>
  </si>
  <si>
    <t>YX19-589/521</t>
  </si>
  <si>
    <t>DARKER CO.,LTD</t>
  </si>
  <si>
    <t>YX19-676</t>
  </si>
  <si>
    <t>INP TECHNOLOGY Corp</t>
  </si>
  <si>
    <t>YX19-627</t>
  </si>
  <si>
    <t>KLEEN-PAK PRODUCTS PTE LTD</t>
  </si>
  <si>
    <t>YX19-471/491/513/549/516/472/424/474/473/466/748</t>
  </si>
  <si>
    <t>2019-07-05</t>
  </si>
  <si>
    <t>FUKUEN COMPANY LIMITED</t>
  </si>
  <si>
    <t>YX19-575</t>
  </si>
  <si>
    <t>Dream paper Co.</t>
  </si>
  <si>
    <t>YX19-421</t>
  </si>
  <si>
    <t>YX19-505/676</t>
  </si>
  <si>
    <t>2019-07-10</t>
  </si>
  <si>
    <t>YX19-589</t>
  </si>
  <si>
    <t>Good-Sky Co.,Ltd</t>
  </si>
  <si>
    <t>YX19-501</t>
  </si>
  <si>
    <t>YX19-428</t>
  </si>
  <si>
    <t>2019-07-12</t>
  </si>
  <si>
    <t>TAENAM HOLDING Co.,LTD</t>
  </si>
  <si>
    <t>YX19-646</t>
  </si>
  <si>
    <t>JUKKA PACKALEN OY</t>
  </si>
  <si>
    <t>YX19--620</t>
  </si>
  <si>
    <t>Triple Nine Holdings Limited</t>
  </si>
  <si>
    <t>YX19-317/320</t>
  </si>
  <si>
    <t>TMS CO.,LTD</t>
  </si>
  <si>
    <t>YX19-616/702</t>
  </si>
  <si>
    <t>2019-07-17</t>
  </si>
  <si>
    <t>KS Nonwoven Co.,Ltd</t>
  </si>
  <si>
    <t>YX19-402/403</t>
  </si>
  <si>
    <t>ESPCOSMATION</t>
  </si>
  <si>
    <t>YX19-631</t>
  </si>
  <si>
    <t>TexMaster Co.,Ltd</t>
  </si>
  <si>
    <t>YX19-617</t>
  </si>
  <si>
    <t>YX19-659</t>
  </si>
  <si>
    <t>YX19-626</t>
  </si>
  <si>
    <t>YX19-403/404</t>
  </si>
  <si>
    <t>YX19-506-2</t>
  </si>
  <si>
    <t>2019-07-19</t>
  </si>
  <si>
    <t>YX19-588/590</t>
  </si>
  <si>
    <t>YX19-530/501</t>
  </si>
  <si>
    <t>YX19-684</t>
  </si>
  <si>
    <t>YX19-404</t>
  </si>
  <si>
    <t>DALGOMI CO.,LTD</t>
  </si>
  <si>
    <t>YX19-605</t>
  </si>
  <si>
    <t>YX19-466/539/564</t>
  </si>
  <si>
    <t>YX19-316/355</t>
  </si>
  <si>
    <t>Y19-530/501</t>
  </si>
  <si>
    <t>2019-07-23</t>
  </si>
  <si>
    <t>2019-07-25</t>
  </si>
  <si>
    <t>YX19-669/674</t>
  </si>
  <si>
    <t>AJIN CLEAN CO.,LTD</t>
  </si>
  <si>
    <t>YX19-636</t>
  </si>
  <si>
    <t>YX19-647</t>
  </si>
  <si>
    <t>YX19-708</t>
  </si>
  <si>
    <t>DDACCO Co.,Ltd</t>
  </si>
  <si>
    <t>YX19-698</t>
  </si>
  <si>
    <t>YX19-470/475</t>
  </si>
  <si>
    <t>YX19-547</t>
  </si>
  <si>
    <t>2019-07-26</t>
  </si>
  <si>
    <t>YX19-781/795</t>
  </si>
  <si>
    <t>YX19-762/501</t>
  </si>
  <si>
    <t>YX19-404/555</t>
  </si>
  <si>
    <t>YX19-574</t>
  </si>
  <si>
    <t>YX19-612</t>
  </si>
  <si>
    <t>YX19-546</t>
  </si>
  <si>
    <t>AREUM CORP</t>
  </si>
  <si>
    <t>YX19-811</t>
  </si>
  <si>
    <t>YX19-764</t>
  </si>
  <si>
    <t>2019-08-05</t>
  </si>
  <si>
    <t>YX19-555</t>
  </si>
  <si>
    <t>YX19-703</t>
  </si>
  <si>
    <t>YX19-653</t>
  </si>
  <si>
    <t>YX19-722-1</t>
  </si>
  <si>
    <t>YX19-814</t>
  </si>
  <si>
    <t>2019-08-06</t>
  </si>
  <si>
    <t>YX19-619/721</t>
  </si>
  <si>
    <t>YX19-789</t>
  </si>
  <si>
    <t>2019-08-08</t>
  </si>
  <si>
    <t>BORAM C AND H CO.,LTD</t>
  </si>
  <si>
    <r>
      <rPr>
        <sz val="10"/>
        <color theme="1"/>
        <rFont val="宋体"/>
        <family val="3"/>
        <charset val="134"/>
      </rPr>
      <t>中国银行</t>
    </r>
    <r>
      <rPr>
        <sz val="10"/>
        <color theme="1"/>
        <rFont val="Arial"/>
        <family val="2"/>
      </rPr>
      <t xml:space="preserve"> </t>
    </r>
  </si>
  <si>
    <t>YX19-834</t>
  </si>
  <si>
    <t>YX19-807/538/438</t>
  </si>
  <si>
    <t>YX19-550/530/645</t>
  </si>
  <si>
    <t>2019-08-09</t>
  </si>
  <si>
    <t>YX19-844/781</t>
  </si>
  <si>
    <t>2019-08-12</t>
  </si>
  <si>
    <t>Hygi Tex Oy Ab</t>
  </si>
  <si>
    <t>章丘工行</t>
  </si>
  <si>
    <t>YX19-490</t>
  </si>
  <si>
    <t>2019-08-14</t>
  </si>
  <si>
    <t>YX19-776</t>
  </si>
  <si>
    <t>YX19-774</t>
  </si>
  <si>
    <t>2019-08-23</t>
  </si>
  <si>
    <t>YX19-865</t>
  </si>
  <si>
    <r>
      <rPr>
        <sz val="10"/>
        <color theme="1"/>
        <rFont val="宋体"/>
        <family val="3"/>
        <charset val="134"/>
      </rPr>
      <t>青农</t>
    </r>
  </si>
  <si>
    <t>YX19-844</t>
  </si>
  <si>
    <t>YX19-500/7163,YX19-645,YX19-654</t>
  </si>
  <si>
    <t>2019-08-26</t>
  </si>
  <si>
    <t>YX19-547/745</t>
  </si>
  <si>
    <t>Golden TB CO.LTD</t>
  </si>
  <si>
    <t>YX19-791</t>
  </si>
  <si>
    <t>YX19-777</t>
  </si>
  <si>
    <t>YX19-816</t>
  </si>
  <si>
    <t>2019-08-27</t>
  </si>
  <si>
    <t>2019-08-29</t>
  </si>
  <si>
    <t>YX19-356</t>
  </si>
  <si>
    <t>YX19-828</t>
  </si>
  <si>
    <t>2019-09-04</t>
  </si>
  <si>
    <t>YX19-794-1/802</t>
  </si>
  <si>
    <t>YX19-902</t>
  </si>
  <si>
    <t>YX19-943</t>
  </si>
  <si>
    <t>YX19-897</t>
  </si>
  <si>
    <t>YX19-746</t>
  </si>
  <si>
    <t>YX19-500/733</t>
  </si>
  <si>
    <t>YX19-912/942</t>
  </si>
  <si>
    <t>YX19-809</t>
  </si>
  <si>
    <t>YX19-626/651/695/807</t>
  </si>
  <si>
    <t>2019-09-06</t>
  </si>
  <si>
    <t>Gain International Co.,Ltd</t>
  </si>
  <si>
    <t>YX19-832</t>
  </si>
  <si>
    <t>JO EUN NA RA CO.,LTD</t>
  </si>
  <si>
    <t>YX19-847</t>
  </si>
  <si>
    <t>YX19-846</t>
  </si>
  <si>
    <t>2019-09-10</t>
  </si>
  <si>
    <t>YX19-789/902</t>
  </si>
  <si>
    <t>YX19-852</t>
  </si>
  <si>
    <t>YX19-868</t>
  </si>
  <si>
    <t>YX19-911</t>
  </si>
  <si>
    <t>YX19-822</t>
  </si>
  <si>
    <t>YX19-640</t>
  </si>
  <si>
    <t>YX19-963</t>
  </si>
  <si>
    <t>YX19-948</t>
  </si>
  <si>
    <t>YX19-620</t>
  </si>
  <si>
    <t>2019-09-11</t>
  </si>
  <si>
    <t>YX19-881-1</t>
  </si>
  <si>
    <t>YX19-794-2</t>
  </si>
  <si>
    <t>YX19-803</t>
  </si>
  <si>
    <t>2019-09-12</t>
  </si>
  <si>
    <t>YX19-654/733/904/903</t>
  </si>
  <si>
    <t>YX19-652/732/578/673</t>
  </si>
  <si>
    <t>2019-09-16</t>
  </si>
  <si>
    <t>YX19-747</t>
  </si>
  <si>
    <t>2019-09-19</t>
  </si>
  <si>
    <t>YX19-880</t>
  </si>
  <si>
    <t>YX19-642/641</t>
  </si>
  <si>
    <t>YX19-926</t>
  </si>
  <si>
    <t>YX19-873-2</t>
  </si>
  <si>
    <t>YX19-883</t>
  </si>
  <si>
    <t>YX19-738</t>
  </si>
  <si>
    <t>YX19-795/954</t>
  </si>
  <si>
    <t>2019-09-21</t>
  </si>
  <si>
    <t>YX19-719</t>
  </si>
  <si>
    <t>YX19-917</t>
  </si>
  <si>
    <t>2019-09-23</t>
  </si>
  <si>
    <t>CLEAN AND CLEAR CO.LTD</t>
  </si>
  <si>
    <t>YX19-1006</t>
  </si>
  <si>
    <t>YX19-807/748/685/711/710</t>
  </si>
  <si>
    <t>YX19-925/904/733</t>
  </si>
  <si>
    <t>2019-09-26</t>
  </si>
  <si>
    <t>YX19-954</t>
  </si>
  <si>
    <t>YX19-904/744</t>
  </si>
  <si>
    <t>YX19-1025</t>
  </si>
  <si>
    <t>YX19-873/894</t>
  </si>
  <si>
    <t>YX19-794-3</t>
  </si>
  <si>
    <t>YX19-980/1041</t>
  </si>
  <si>
    <t>YX19-925</t>
  </si>
  <si>
    <t>YX19-823/923</t>
  </si>
  <si>
    <t>YX19-953</t>
  </si>
  <si>
    <t>YX19-964</t>
  </si>
  <si>
    <t>YX19-750/876/875/749</t>
  </si>
  <si>
    <t>YX19-904</t>
  </si>
  <si>
    <t>YX19-885/901</t>
  </si>
  <si>
    <t>YX19-966</t>
  </si>
  <si>
    <t>YX19-955</t>
  </si>
  <si>
    <t>YX19-959</t>
  </si>
  <si>
    <t>YX19-928</t>
  </si>
  <si>
    <t>2019-10-12</t>
  </si>
  <si>
    <t>2019-10-16</t>
  </si>
  <si>
    <t>YX19-1106</t>
  </si>
  <si>
    <t>YX19-1015/1049</t>
  </si>
  <si>
    <t>YX19-1096</t>
  </si>
  <si>
    <t>YX19-1094</t>
  </si>
  <si>
    <t>YX19-866</t>
  </si>
  <si>
    <t>YX19-744/904/925</t>
  </si>
  <si>
    <t>YX19-980/1041/1118/1119/1120</t>
  </si>
  <si>
    <t>YX19-986</t>
  </si>
  <si>
    <t>YX19-987-1</t>
  </si>
  <si>
    <t>2019-10-21</t>
  </si>
  <si>
    <t>YX19-720</t>
  </si>
  <si>
    <t>YX19-1008/924</t>
  </si>
  <si>
    <t>YX19-1092</t>
  </si>
  <si>
    <t>YX19-1049/1087</t>
  </si>
  <si>
    <t>YX19-962-1</t>
  </si>
  <si>
    <t>YX19-979</t>
  </si>
  <si>
    <t>YX19-925/744</t>
  </si>
  <si>
    <t>2019-11-01</t>
  </si>
  <si>
    <t>YX19-877</t>
  </si>
  <si>
    <t>YX19-1179</t>
  </si>
  <si>
    <t>YX19-1083</t>
  </si>
  <si>
    <t>Daol G AND C Co.,Ltd</t>
  </si>
  <si>
    <t>YX19-1186</t>
  </si>
  <si>
    <t>YX19-1037</t>
  </si>
  <si>
    <t>YX19-967/925</t>
  </si>
  <si>
    <t>YX19-987-2</t>
  </si>
  <si>
    <t>YX19-967</t>
  </si>
  <si>
    <t>YX19-902/1136</t>
  </si>
  <si>
    <t>YX19-1086</t>
  </si>
  <si>
    <t>2019-11-06</t>
  </si>
  <si>
    <t>YX19-1155</t>
  </si>
  <si>
    <t>YX19-962-2</t>
  </si>
  <si>
    <t>YX19-1030/1031</t>
  </si>
  <si>
    <t>YX19-1004-2</t>
  </si>
  <si>
    <t>YX19-1004-1</t>
  </si>
  <si>
    <t>2019-11-08</t>
  </si>
  <si>
    <t>YX19-1066</t>
  </si>
  <si>
    <t>YX19-1061</t>
  </si>
  <si>
    <t>YX19-919</t>
  </si>
  <si>
    <t>2019-11-12</t>
  </si>
  <si>
    <t>YX19-1067</t>
  </si>
  <si>
    <t>YX19-YX19-1186</t>
  </si>
  <si>
    <t>YX19-1246</t>
  </si>
  <si>
    <t>YX19-1009/1032</t>
  </si>
  <si>
    <t>YX19-835/821/977/820</t>
  </si>
  <si>
    <t>YX19-967/744</t>
  </si>
  <si>
    <t>YX19-1135</t>
  </si>
  <si>
    <t>YX19-1136</t>
  </si>
  <si>
    <t>YX19-925/972</t>
  </si>
  <si>
    <t>YX19-1004-3</t>
  </si>
  <si>
    <t>2019-11-19</t>
  </si>
  <si>
    <t>YX19-780</t>
  </si>
  <si>
    <t>YX19-1118/1119/1120</t>
  </si>
  <si>
    <t>YX19-1136/1169</t>
  </si>
  <si>
    <t>PERITONE HEALTH SDN BHD</t>
  </si>
  <si>
    <t>YX19-146</t>
  </si>
  <si>
    <t>2019-11-21</t>
  </si>
  <si>
    <t>YX19-1166</t>
  </si>
  <si>
    <t>YX19-1205</t>
  </si>
  <si>
    <t>YX19-1209</t>
  </si>
  <si>
    <t>YX19-1034/1033</t>
  </si>
  <si>
    <t>YX19-872/919</t>
  </si>
  <si>
    <t>2019-11-23</t>
  </si>
  <si>
    <t>SIOSI TRADING</t>
  </si>
  <si>
    <t>YX19-1259</t>
  </si>
  <si>
    <t>YX19-1088/1214</t>
  </si>
  <si>
    <t>YX19-1223/1224</t>
  </si>
  <si>
    <t>YX19-1169</t>
  </si>
  <si>
    <t>2019-11-26</t>
  </si>
  <si>
    <t>YX19-1060-1</t>
  </si>
  <si>
    <t>YX19-1309</t>
  </si>
  <si>
    <t>YX19-1010/1101</t>
  </si>
  <si>
    <t>YX19-925/744/967/1199/1250</t>
  </si>
  <si>
    <t>HONG SHUO ENTERPRISE CO.,LTD</t>
  </si>
  <si>
    <t>YX19-1318</t>
  </si>
  <si>
    <t>2019-12-01</t>
  </si>
  <si>
    <t>YX19-1239/1258</t>
  </si>
  <si>
    <t>TAENAM MEDICOS CO.,LTD</t>
  </si>
  <si>
    <t>YX19-1208</t>
  </si>
  <si>
    <t>YX19-1121/1279/1295/1050</t>
  </si>
  <si>
    <t>YX19-1169/1241</t>
  </si>
  <si>
    <t>YX19-1102</t>
  </si>
  <si>
    <t>YX19-1354</t>
  </si>
  <si>
    <t>2019-12-04</t>
  </si>
  <si>
    <t>2019-12-05</t>
  </si>
  <si>
    <t>YX19-1352</t>
  </si>
  <si>
    <t>YX19-1048</t>
  </si>
  <si>
    <t>YX19-1168</t>
  </si>
  <si>
    <t>2019-12-07</t>
  </si>
  <si>
    <t>YX19-1360</t>
  </si>
  <si>
    <t>YX19-1241</t>
  </si>
  <si>
    <t>YX19-925/1050</t>
  </si>
  <si>
    <t>YX19-1263</t>
  </si>
  <si>
    <t>YX19-1261</t>
  </si>
  <si>
    <t>YX19-1286</t>
  </si>
  <si>
    <t>YX19-1253</t>
  </si>
  <si>
    <t>YX19-1362/1155</t>
  </si>
  <si>
    <t>2019-12-11</t>
  </si>
  <si>
    <t>YX19-1386</t>
  </si>
  <si>
    <t>YX19-1011</t>
  </si>
  <si>
    <t>YX19-1060-2</t>
  </si>
  <si>
    <t>YX19-1187/1246</t>
  </si>
  <si>
    <t>2019-12-12</t>
  </si>
  <si>
    <t>YX19-1234</t>
  </si>
  <si>
    <t>YX19-1050/744</t>
  </si>
  <si>
    <t>2019-12-16</t>
  </si>
  <si>
    <t>YX19-881</t>
  </si>
  <si>
    <t>YX19-1298</t>
  </si>
  <si>
    <t>YX19-555/1104</t>
  </si>
  <si>
    <t>YX19-1411-1</t>
  </si>
  <si>
    <t>2019-12-18</t>
  </si>
  <si>
    <t>YX19-820/913/956/914/915/916</t>
  </si>
  <si>
    <t>CHOEUN TRADING CO.,LTD</t>
  </si>
  <si>
    <t>YX19-1416</t>
  </si>
  <si>
    <t>YX19-1050</t>
  </si>
  <si>
    <t>YX19-1346</t>
  </si>
  <si>
    <t>2019-12-19</t>
  </si>
  <si>
    <t>YX19-1178</t>
  </si>
  <si>
    <t>YX19-1310</t>
  </si>
  <si>
    <t>2019-12-24</t>
  </si>
  <si>
    <t>YX19-1281</t>
  </si>
  <si>
    <t>YX19-1440</t>
  </si>
  <si>
    <t>YX19-1447</t>
  </si>
  <si>
    <t>YX19-1104</t>
  </si>
  <si>
    <t>2019-12-26</t>
  </si>
  <si>
    <t>LERNAPHARM  (LORIS)  INC</t>
  </si>
  <si>
    <t>YX19-1154</t>
  </si>
  <si>
    <t>YX19-1298-3</t>
  </si>
  <si>
    <t>2019-12-30</t>
  </si>
  <si>
    <t>YX19-1206/932/1334</t>
  </si>
  <si>
    <t>YX19-1356</t>
  </si>
  <si>
    <t>YX19-1342-1</t>
  </si>
  <si>
    <t>YX19-1379</t>
  </si>
  <si>
    <t>YX19-1227-2</t>
  </si>
  <si>
    <t>YX19-1467</t>
  </si>
  <si>
    <t>Perm Poon Patana Industry Co.,Ltd</t>
  </si>
  <si>
    <t>YX19-1353</t>
  </si>
  <si>
    <t>YX19-1247</t>
  </si>
  <si>
    <t>YX19-1466</t>
  </si>
  <si>
    <t>2019-12-31</t>
  </si>
  <si>
    <t>YX19-1351</t>
  </si>
  <si>
    <t>YX19-1012/1269</t>
  </si>
  <si>
    <t>YX19-1162/1206/1334/932</t>
  </si>
  <si>
    <t>2020-01-07</t>
  </si>
  <si>
    <t>YX20-04</t>
  </si>
  <si>
    <t>YX19-1444</t>
  </si>
  <si>
    <t>YX19-1376</t>
  </si>
  <si>
    <t>YX19-1451</t>
  </si>
  <si>
    <t>YX19-1321-1/1326/1227-1</t>
  </si>
  <si>
    <t>2020-01-08</t>
  </si>
  <si>
    <t>Triple Nine Holdings Co.,Ltd</t>
  </si>
  <si>
    <t>YX19-1219/1108</t>
  </si>
  <si>
    <t>YX19-1091/1047/1090/1203</t>
  </si>
  <si>
    <t>2020-01-09</t>
  </si>
  <si>
    <t>YX19-1162/1334/1206</t>
  </si>
  <si>
    <t>YX19-1270</t>
  </si>
  <si>
    <t>YX20-038</t>
  </si>
  <si>
    <t>2020-01-13</t>
  </si>
  <si>
    <t>CHARRY CO.,LTD</t>
  </si>
  <si>
    <t>YX20-016</t>
  </si>
  <si>
    <t>2020-01-14</t>
  </si>
  <si>
    <t>YX19-1317</t>
  </si>
  <si>
    <t>YX19-1417</t>
  </si>
  <si>
    <t>YX19-1390</t>
  </si>
  <si>
    <t>YX19-1362</t>
  </si>
  <si>
    <t>YX19-1414</t>
  </si>
  <si>
    <t>YX19-1340</t>
  </si>
  <si>
    <t>YX19-1271</t>
  </si>
  <si>
    <t>2020-01-15</t>
  </si>
  <si>
    <t>MC INT Co.,Ltd</t>
  </si>
  <si>
    <t>YX19-1415</t>
  </si>
  <si>
    <t>2020-01-16</t>
  </si>
  <si>
    <t>YX19-1206</t>
  </si>
  <si>
    <t>2020-01-19</t>
  </si>
  <si>
    <t>YX19-1203/1091/1073/1115/1161</t>
  </si>
  <si>
    <t>YX19-1206/1445</t>
  </si>
  <si>
    <t>YX19-1378/1321-1</t>
  </si>
  <si>
    <t>YX19-1412-1</t>
  </si>
  <si>
    <t>YX19-1311</t>
  </si>
  <si>
    <t>2020-01-22</t>
  </si>
  <si>
    <t>YX20-019</t>
  </si>
  <si>
    <t>YX20-091</t>
  </si>
  <si>
    <t>YX19-1377</t>
  </si>
  <si>
    <t>YX19-1272</t>
  </si>
  <si>
    <t>YX19-1420</t>
  </si>
  <si>
    <t>YX19-1162/1206</t>
  </si>
  <si>
    <t>2020-01-31</t>
  </si>
  <si>
    <t>YX19-1450</t>
  </si>
  <si>
    <t>YX19-1342-2</t>
  </si>
  <si>
    <t>YX19-1453</t>
  </si>
  <si>
    <t>YX19-1412-2/1430-1</t>
  </si>
  <si>
    <t>2020-02-05</t>
  </si>
  <si>
    <t>YX19-1293（201912010077/78/79/201912050019）</t>
  </si>
  <si>
    <t>YX19-1414（202001150004/6/7/202001200023）</t>
  </si>
  <si>
    <t>X19-1334/1372/1282</t>
  </si>
  <si>
    <t>YX19-1293（201911210015/16/17）</t>
  </si>
  <si>
    <t>YX19-1273（202001210048）</t>
  </si>
  <si>
    <t>Marubeni Pulp and Paper Co.,Ltd</t>
  </si>
  <si>
    <t>YX19-1322</t>
  </si>
  <si>
    <t>YX19-1412-3</t>
  </si>
  <si>
    <t>YX19-1454</t>
  </si>
  <si>
    <t>YX20-015</t>
  </si>
  <si>
    <t>2020-02-12</t>
  </si>
  <si>
    <t>YX19-1414（202002010003/4/5/6)</t>
  </si>
  <si>
    <t>YX19-1275</t>
  </si>
  <si>
    <t>YX19-1334/YX19-1372/YX19-1162</t>
  </si>
  <si>
    <t>YX20-126</t>
  </si>
  <si>
    <t>YX20-115</t>
  </si>
  <si>
    <t>YX20-043</t>
  </si>
  <si>
    <t>YX20-31</t>
  </si>
  <si>
    <t>YX20-033</t>
  </si>
  <si>
    <t>YX20-039/41/42</t>
  </si>
  <si>
    <t>YX19-1370</t>
  </si>
  <si>
    <t>2020-02-13</t>
  </si>
  <si>
    <t>2020-02-15</t>
  </si>
  <si>
    <r>
      <rPr>
        <sz val="10"/>
        <color theme="1"/>
        <rFont val="宋体"/>
        <family val="3"/>
        <charset val="134"/>
      </rPr>
      <t>青农</t>
    </r>
    <r>
      <rPr>
        <sz val="10"/>
        <color theme="1"/>
        <rFont val="Arial"/>
        <family val="2"/>
      </rPr>
      <t xml:space="preserve"> </t>
    </r>
  </si>
  <si>
    <t>YX19-1421</t>
  </si>
  <si>
    <r>
      <rPr>
        <sz val="10"/>
        <color theme="1"/>
        <rFont val="宋体"/>
        <family val="3"/>
        <charset val="134"/>
      </rPr>
      <t>青农</t>
    </r>
  </si>
  <si>
    <t>YX20-123</t>
  </si>
  <si>
    <t>YX20-117</t>
  </si>
  <si>
    <t>YX20-118</t>
  </si>
  <si>
    <t>2020-02-19</t>
  </si>
  <si>
    <t xml:space="preserve">YX20-126 </t>
  </si>
  <si>
    <t>YX19-1293</t>
  </si>
  <si>
    <t>YX19-1414/YX20-062</t>
  </si>
  <si>
    <t>YX20-066</t>
  </si>
  <si>
    <t>YX19-1334/1372/1162</t>
  </si>
  <si>
    <t>YX19-1276</t>
  </si>
  <si>
    <t>YX20-062</t>
  </si>
  <si>
    <t>YX19-301/1302/1303/1304/1115/1392</t>
  </si>
  <si>
    <t>YX19-1301/1302/1303/1304/1115/1392</t>
  </si>
  <si>
    <t>2020-02-24</t>
  </si>
  <si>
    <t>YX20-034/061</t>
  </si>
  <si>
    <t>YX20-072</t>
  </si>
  <si>
    <t>YX20-014</t>
  </si>
  <si>
    <t>YX20-082</t>
  </si>
  <si>
    <t>2020-02-25</t>
  </si>
  <si>
    <t>YX19-1372/1334/YX20-102</t>
  </si>
  <si>
    <t>YX20-1471 0201017/0201018</t>
  </si>
  <si>
    <t>2020-02-26</t>
  </si>
  <si>
    <t>MBP INVESTMENT</t>
  </si>
  <si>
    <t xml:space="preserve">YX19-1157/1190/1191/1219    </t>
  </si>
  <si>
    <t>YX19-1219</t>
  </si>
  <si>
    <t>2020-03-03</t>
  </si>
  <si>
    <t>YX20-090/052</t>
  </si>
  <si>
    <t>YX20-238</t>
  </si>
  <si>
    <t>2020-03-04</t>
  </si>
  <si>
    <t>YX20-040</t>
  </si>
  <si>
    <t xml:space="preserve">YX20-1219/1452/643/YX20-076     </t>
  </si>
  <si>
    <t>YX20-135/164/012</t>
  </si>
  <si>
    <t>YX20-112</t>
  </si>
  <si>
    <t>WOOJIN GLOBAL</t>
  </si>
  <si>
    <t>YX20-153/154/155</t>
  </si>
  <si>
    <t>YX20-158</t>
  </si>
  <si>
    <t>BONOA CO., LTD</t>
  </si>
  <si>
    <t>YX20-106</t>
  </si>
  <si>
    <t>2020-03-06</t>
  </si>
  <si>
    <t>YX20-185</t>
  </si>
  <si>
    <t>YX20-167</t>
  </si>
  <si>
    <t>YX20-131</t>
  </si>
  <si>
    <t>YX20-096</t>
  </si>
  <si>
    <t>YX19-1471</t>
  </si>
  <si>
    <t>2020-03-09</t>
  </si>
  <si>
    <t>YX20-064/073/088</t>
  </si>
  <si>
    <t>YX20-225</t>
  </si>
  <si>
    <t>YX20-089</t>
  </si>
  <si>
    <t>2020-03-16</t>
  </si>
  <si>
    <t>YX19-1162/YX20-012/217</t>
  </si>
  <si>
    <t>JIWON F AND B CO.,LTD</t>
  </si>
  <si>
    <t>YX20-150</t>
  </si>
  <si>
    <t>YX19-142/1459/1143/YX20-100/02/08/09</t>
  </si>
  <si>
    <t>YX19-1274/1277</t>
  </si>
  <si>
    <t>YX20-188</t>
  </si>
  <si>
    <t>YX20-152</t>
  </si>
  <si>
    <t>YX20-151</t>
  </si>
  <si>
    <t>2020-03-17</t>
  </si>
  <si>
    <t>YX20-196</t>
  </si>
  <si>
    <t>YX20-187</t>
  </si>
  <si>
    <t>YX20-012/217</t>
  </si>
  <si>
    <t>2020-03-20</t>
  </si>
  <si>
    <t>YX20-315</t>
  </si>
  <si>
    <t>2020-03-23</t>
  </si>
  <si>
    <t>YX20-154</t>
  </si>
  <si>
    <t>YX20-178/210/211</t>
  </si>
  <si>
    <t>YX20-108</t>
  </si>
  <si>
    <t xml:space="preserve">YX20-073/105    </t>
  </si>
  <si>
    <t>YX20-338</t>
  </si>
  <si>
    <t>2020-03-26</t>
  </si>
  <si>
    <t>YX20-012/162/163</t>
  </si>
  <si>
    <t>YX20-061/109</t>
  </si>
  <si>
    <t>YX20-120</t>
  </si>
  <si>
    <t>2020-04-01</t>
  </si>
  <si>
    <t>YX20-148</t>
  </si>
  <si>
    <t>YX20-186</t>
  </si>
  <si>
    <t>LEC,INC</t>
  </si>
  <si>
    <t>YX20-116</t>
  </si>
  <si>
    <t xml:space="preserve">YX20-111  </t>
  </si>
  <si>
    <t>2020-04-02</t>
  </si>
  <si>
    <t>YX20-386</t>
  </si>
  <si>
    <t>YX20-155/153</t>
  </si>
  <si>
    <t>2020-04-03</t>
  </si>
  <si>
    <t>KAEN COOPERATION LIMITED</t>
  </si>
  <si>
    <r>
      <rPr>
        <sz val="10"/>
        <color theme="1"/>
        <rFont val="宋体"/>
        <family val="3"/>
        <charset val="134"/>
      </rPr>
      <t>中国银行</t>
    </r>
  </si>
  <si>
    <t>YX20-388</t>
  </si>
  <si>
    <t>2020-04-07</t>
  </si>
  <si>
    <t>YX20-134/163</t>
  </si>
  <si>
    <t>2020-04-08</t>
  </si>
  <si>
    <t>YX20-246</t>
  </si>
  <si>
    <t>YX20-100/124/125/074/075</t>
  </si>
  <si>
    <t>YX20-343</t>
  </si>
  <si>
    <t>YX20-258</t>
  </si>
  <si>
    <t>2020-04-09</t>
  </si>
  <si>
    <t>YX20-226</t>
  </si>
  <si>
    <t>2020-04-10</t>
  </si>
  <si>
    <t>YX20-132</t>
  </si>
  <si>
    <t>2020-04-14</t>
  </si>
  <si>
    <t>YX19-1278</t>
  </si>
  <si>
    <r>
      <rPr>
        <sz val="10"/>
        <color theme="1"/>
        <rFont val="宋体"/>
        <family val="3"/>
        <charset val="134"/>
      </rPr>
      <t>章丘工行</t>
    </r>
  </si>
  <si>
    <t>YX20-245</t>
  </si>
  <si>
    <t>2020-04-16</t>
  </si>
  <si>
    <t>YX20-247</t>
  </si>
  <si>
    <t>YX20-323</t>
  </si>
  <si>
    <t>YX20-107</t>
  </si>
  <si>
    <t>YX20-194-1</t>
  </si>
  <si>
    <t>2020-04-17</t>
  </si>
  <si>
    <t>YX20-178</t>
  </si>
  <si>
    <t>YX20-119/148</t>
  </si>
  <si>
    <t>2020-04-20</t>
  </si>
  <si>
    <r>
      <rPr>
        <sz val="10"/>
        <color theme="1"/>
        <rFont val="宋体"/>
        <family val="3"/>
        <charset val="134"/>
      </rPr>
      <t>青农</t>
    </r>
    <r>
      <rPr>
        <sz val="10"/>
        <color theme="1"/>
        <rFont val="Arial"/>
        <family val="2"/>
      </rPr>
      <t xml:space="preserve">  </t>
    </r>
  </si>
  <si>
    <t xml:space="preserve">YX20-217/163/189/452     </t>
  </si>
  <si>
    <t>2020-04-22</t>
  </si>
  <si>
    <t>YX20-383</t>
  </si>
  <si>
    <t>2020-04-23</t>
  </si>
  <si>
    <t>YX20-210-1</t>
  </si>
  <si>
    <t>2020-04-24</t>
  </si>
  <si>
    <t>YX19-1293/YX20-285</t>
  </si>
  <si>
    <t>YX20-249</t>
  </si>
  <si>
    <t>YX20-194</t>
  </si>
  <si>
    <t>YX20-267</t>
  </si>
  <si>
    <t>YX20-239</t>
  </si>
  <si>
    <t>YX20-327</t>
  </si>
  <si>
    <t>YX20-100</t>
  </si>
  <si>
    <t>2020-04-26</t>
  </si>
  <si>
    <t>YX20-361</t>
  </si>
  <si>
    <t>YX20-159/160/067/068</t>
  </si>
  <si>
    <t>2020-05-01</t>
  </si>
  <si>
    <t>YX20-329</t>
  </si>
  <si>
    <t>YX20-520</t>
  </si>
  <si>
    <t>YX20-533</t>
  </si>
  <si>
    <t>YX20-519</t>
  </si>
  <si>
    <t>YX20-349</t>
  </si>
  <si>
    <t>YX20-531</t>
  </si>
  <si>
    <t>YX20-251</t>
  </si>
  <si>
    <t>Cleanplus Co.,ltd</t>
  </si>
  <si>
    <t>YX20-546</t>
  </si>
  <si>
    <t>YX20-314</t>
  </si>
  <si>
    <t>YX20-534</t>
  </si>
  <si>
    <t>2020-05-04</t>
  </si>
  <si>
    <t>YX20-249/333/267</t>
  </si>
  <si>
    <t>2020-05-08</t>
  </si>
  <si>
    <t>YX20-551</t>
  </si>
  <si>
    <t>YX20-217/395/215/453</t>
  </si>
  <si>
    <t>YX20-201</t>
  </si>
  <si>
    <t>YX20-377/376</t>
  </si>
  <si>
    <t>YX20-266</t>
  </si>
  <si>
    <t>2020-05-09</t>
  </si>
  <si>
    <t>YX20-168</t>
  </si>
  <si>
    <t>YX20-137/205/165/241/19-1422</t>
  </si>
  <si>
    <t>YX20-211</t>
  </si>
  <si>
    <t>2020-05-13</t>
  </si>
  <si>
    <t>YX20-344</t>
  </si>
  <si>
    <t>2020-05-14</t>
  </si>
  <si>
    <t>2020-05-15</t>
  </si>
  <si>
    <t>YX20-204/166/138/139/140/141/142</t>
  </si>
  <si>
    <t>2020-05-19</t>
  </si>
  <si>
    <t>YX20-249/333/379</t>
  </si>
  <si>
    <t>YX20-191/215/455</t>
  </si>
  <si>
    <t>YX20-159/30/28/29</t>
  </si>
  <si>
    <t>2020-05-21</t>
  </si>
  <si>
    <t>YX20-408/306</t>
  </si>
  <si>
    <t>YX20-250</t>
  </si>
  <si>
    <t>YX20-215/217/454/455</t>
  </si>
  <si>
    <t>2020-05-22</t>
  </si>
  <si>
    <t>YX20-387</t>
  </si>
  <si>
    <t>2020-05-23</t>
  </si>
  <si>
    <t>YX20-299/146/301/300</t>
  </si>
  <si>
    <t>YX20-539</t>
  </si>
  <si>
    <t>2020-05-26</t>
  </si>
  <si>
    <t>YX20-403</t>
  </si>
  <si>
    <t>2020-06-01</t>
  </si>
  <si>
    <t>YX20-173/069/174</t>
  </si>
  <si>
    <t>YX20-604</t>
  </si>
  <si>
    <t xml:space="preserve">YX20-258 </t>
  </si>
  <si>
    <t>YX20-323/382</t>
  </si>
  <si>
    <t>YX20-394</t>
  </si>
  <si>
    <t>2020-06-03</t>
  </si>
  <si>
    <t>YX20-163/215/191</t>
  </si>
  <si>
    <t>2020-06-04</t>
  </si>
  <si>
    <t>YX20-267/333/249-1/249-4/249-5/249-6</t>
  </si>
  <si>
    <t>YX20-307</t>
  </si>
  <si>
    <t>2020-06-05</t>
  </si>
  <si>
    <r>
      <rPr>
        <sz val="10"/>
        <rFont val="Arial"/>
        <family val="2"/>
      </rPr>
      <t>YX20-267/249-2</t>
    </r>
    <r>
      <rPr>
        <sz val="10"/>
        <rFont val="宋体"/>
        <family val="3"/>
        <charset val="134"/>
      </rPr>
      <t>、</t>
    </r>
    <r>
      <rPr>
        <sz val="10"/>
        <rFont val="Arial"/>
        <family val="2"/>
      </rPr>
      <t>3/313/333</t>
    </r>
  </si>
  <si>
    <t>2020-06-09</t>
  </si>
  <si>
    <t>YX20-523/636/637</t>
  </si>
  <si>
    <t>MANA SAAD ALMANA? ESTABLISHMENT TRADING</t>
  </si>
  <si>
    <t>YX20-616</t>
  </si>
  <si>
    <t>2020-06-11</t>
  </si>
  <si>
    <t>YX20-540</t>
  </si>
  <si>
    <t>YX20-590</t>
  </si>
  <si>
    <t>YX20-538</t>
  </si>
  <si>
    <t>2020-06-15</t>
  </si>
  <si>
    <t>YX20-190/191</t>
  </si>
  <si>
    <t>2020-06-16</t>
  </si>
  <si>
    <t>YX20-670</t>
  </si>
  <si>
    <t>2020-06-17</t>
  </si>
  <si>
    <t>YX20-523</t>
  </si>
  <si>
    <t>2020-06-18</t>
  </si>
  <si>
    <t>YX20-313/513</t>
  </si>
  <si>
    <t>YX20-589</t>
  </si>
  <si>
    <t>YX20-517</t>
  </si>
  <si>
    <t>YX20-217/460</t>
  </si>
  <si>
    <t>LK innovation</t>
  </si>
  <si>
    <t>YX20-518</t>
  </si>
  <si>
    <t>2020-06-20</t>
  </si>
  <si>
    <t>YX20-698</t>
  </si>
  <si>
    <t>YX20-578</t>
  </si>
  <si>
    <t>YX20-382</t>
  </si>
  <si>
    <t>YX20-298/340/339/393</t>
  </si>
  <si>
    <t>2020-06-24</t>
  </si>
  <si>
    <t>2020-06-28</t>
  </si>
  <si>
    <t>YX20-572</t>
  </si>
  <si>
    <t>YX20-236</t>
  </si>
  <si>
    <t>YX20-191/460</t>
  </si>
  <si>
    <t>2020-06-29</t>
  </si>
  <si>
    <t>YX20-532</t>
  </si>
  <si>
    <t>YX20-661</t>
  </si>
  <si>
    <t>2020-06-30</t>
  </si>
  <si>
    <t>YX20-693</t>
  </si>
  <si>
    <t>YX20-593</t>
  </si>
  <si>
    <t>YX20-744/745/749/637</t>
  </si>
  <si>
    <t>YX19-905</t>
  </si>
  <si>
    <t>YX19-683</t>
  </si>
  <si>
    <t>YX19-1196</t>
  </si>
  <si>
    <t>YX19-1289</t>
  </si>
  <si>
    <t>2019-12-21</t>
  </si>
  <si>
    <t>YX19-1373</t>
  </si>
  <si>
    <t>YX19-1373/1289</t>
  </si>
  <si>
    <t>2020-01-20</t>
  </si>
  <si>
    <t>YX19-1424</t>
  </si>
  <si>
    <t>YX20-083</t>
  </si>
  <si>
    <t>2020-03-05</t>
  </si>
  <si>
    <t>YX19-1426</t>
  </si>
  <si>
    <t>YX20-380</t>
  </si>
  <si>
    <t>2020-04-11</t>
  </si>
  <si>
    <t>YX20-197</t>
  </si>
  <si>
    <t>2020-05-11</t>
  </si>
  <si>
    <t>YX20-514</t>
  </si>
  <si>
    <t>YX20-617</t>
  </si>
  <si>
    <t>YX20-351</t>
  </si>
  <si>
    <r>
      <rPr>
        <sz val="10"/>
        <color theme="1"/>
        <rFont val="宋体"/>
        <family val="3"/>
        <charset val="134"/>
      </rPr>
      <t>合计</t>
    </r>
  </si>
  <si>
    <t xml:space="preserve">                 涉外收入申报单（2019.7-2020.6）</t>
  </si>
  <si>
    <t>国别
代码</t>
  </si>
  <si>
    <t>结算
方式</t>
  </si>
  <si>
    <t>收入款
金额</t>
  </si>
  <si>
    <t>交易编码1</t>
  </si>
  <si>
    <t>交易金额1</t>
  </si>
  <si>
    <t>交易附言1</t>
  </si>
  <si>
    <t>370600000101190729N01H</t>
  </si>
  <si>
    <t>TI19072600027529</t>
  </si>
  <si>
    <t>2019-07-31</t>
  </si>
  <si>
    <t>(JW)S.A.S.   A 2 E 1 T RUE LOUIS PASTEUR</t>
  </si>
  <si>
    <t>FRA</t>
  </si>
  <si>
    <t>121010</t>
  </si>
  <si>
    <t>18.00</t>
  </si>
  <si>
    <t>一般贸易/出口电路板收汇</t>
  </si>
  <si>
    <t>370600000101190726R004</t>
  </si>
  <si>
    <t>BP1076319000568</t>
  </si>
  <si>
    <t>(JW)SAS A2E1 TER RUE LOUIS PASTEUR BP 8870400 HERICOURTFRANCE</t>
  </si>
  <si>
    <t>31049.00</t>
  </si>
  <si>
    <t>370600124701190718N004</t>
  </si>
  <si>
    <t>0769IR190700115</t>
  </si>
  <si>
    <t>2019-07-22</t>
  </si>
  <si>
    <t>(JW)COMPANHIA DE ELECTRICIDADE DE MACAU-CEM.S.A</t>
  </si>
  <si>
    <t>MAC</t>
  </si>
  <si>
    <t>980.00</t>
  </si>
  <si>
    <t>一般贸易/预收变电站自动化控制系统货款4500050308</t>
  </si>
  <si>
    <t>370600000101190718N00C</t>
  </si>
  <si>
    <t>TI19071700014534</t>
  </si>
  <si>
    <t>4190.00</t>
  </si>
  <si>
    <t>370600124701190716N006</t>
  </si>
  <si>
    <t>0769IR190700092</t>
  </si>
  <si>
    <t>(JW)GRID VISION TD SDN BHD</t>
  </si>
  <si>
    <t>MYS</t>
  </si>
  <si>
    <t>722820.00</t>
  </si>
  <si>
    <t>一般贸易/出口远程控制终端收款</t>
  </si>
  <si>
    <t>370600000101190710N003</t>
  </si>
  <si>
    <t>TI19070800030958</t>
  </si>
  <si>
    <t>2019-07-11</t>
  </si>
  <si>
    <t>(JW)DONGFANG ELECTRONICS  CO LTD FIRST CROSS STREET</t>
  </si>
  <si>
    <t>432668.00</t>
  </si>
  <si>
    <t>一般贸易/出口变电站自动化控制系统收汇</t>
  </si>
  <si>
    <t>370600000101190709R002</t>
  </si>
  <si>
    <t>BP1076319000479</t>
  </si>
  <si>
    <t>(JW)SAS A2E1 TER RUE LOUIS PASTEUR BP 8870400 HERICOURT FRANCE</t>
  </si>
  <si>
    <t>90440.00</t>
  </si>
  <si>
    <t>370600000101190708N00K</t>
  </si>
  <si>
    <t>TI19070600005327</t>
  </si>
  <si>
    <t>(JW)DONGFANG ELECTRONICS CO LTD 162 NATIONAL MEDIA CENTRE</t>
  </si>
  <si>
    <t>98089.00</t>
  </si>
  <si>
    <t>370600124701190705N003</t>
  </si>
  <si>
    <t>0769IR190700038</t>
  </si>
  <si>
    <t>2019-07-08</t>
  </si>
  <si>
    <t>(JW)RADIANT CORPORATION</t>
  </si>
  <si>
    <t>BGD</t>
  </si>
  <si>
    <t>3760.00</t>
  </si>
  <si>
    <t>一般贸易/预收变电站自动化控制系统货款DFBD20190610</t>
  </si>
  <si>
    <t>370600124701190704N003</t>
  </si>
  <si>
    <t>0769IR190700031</t>
  </si>
  <si>
    <t>370629.00</t>
  </si>
  <si>
    <t>370600000101190829R006</t>
  </si>
  <si>
    <t>BP1076319000682</t>
  </si>
  <si>
    <t>2019-09-02</t>
  </si>
  <si>
    <t>65610.00</t>
  </si>
  <si>
    <t>370600000101190829R005</t>
  </si>
  <si>
    <t>BP1076319000678</t>
  </si>
  <si>
    <t>5847.00</t>
  </si>
  <si>
    <t>370600000101190827R002</t>
  </si>
  <si>
    <t>BP1076319000125</t>
  </si>
  <si>
    <t>69800.00</t>
  </si>
  <si>
    <t>370600000101190820R003</t>
  </si>
  <si>
    <t>BP1076319000171</t>
  </si>
  <si>
    <t>31918.00</t>
  </si>
  <si>
    <t>370600000101190820R002</t>
  </si>
  <si>
    <t>BP1076319000342</t>
  </si>
  <si>
    <t>34690.00</t>
  </si>
  <si>
    <t>370600124701190816N001</t>
  </si>
  <si>
    <t>0769IR190800092</t>
  </si>
  <si>
    <t>207479.00</t>
  </si>
  <si>
    <t>370600124701190815N005</t>
  </si>
  <si>
    <t>0769IR190800089</t>
  </si>
  <si>
    <t>2019-08-16</t>
  </si>
  <si>
    <t>(JW)WILLOWGLEN SERVICES PTE LTD</t>
  </si>
  <si>
    <t>SGP</t>
  </si>
  <si>
    <t>17456.00</t>
  </si>
  <si>
    <t>一般贸易/出口变电站自动化控制系统收款</t>
  </si>
  <si>
    <t>370600124701190814N003</t>
  </si>
  <si>
    <t>0769IR190800076</t>
  </si>
  <si>
    <t>1999890.00</t>
  </si>
  <si>
    <t>370600000101190813N00T</t>
  </si>
  <si>
    <t>TI19081300010057</t>
  </si>
  <si>
    <t>2019-08-19</t>
  </si>
  <si>
    <t>256.00</t>
  </si>
  <si>
    <t>370600124701190812N002</t>
  </si>
  <si>
    <t>0769IR190800063</t>
  </si>
  <si>
    <t>2019-08-13</t>
  </si>
  <si>
    <t>(JW)ENOVA INTEGRATION CO.,LTD.</t>
  </si>
  <si>
    <t>THA</t>
  </si>
  <si>
    <t>6780.00</t>
  </si>
  <si>
    <t>一般贸易/出口配电单元收汇</t>
  </si>
  <si>
    <t>370600124701190807N001</t>
  </si>
  <si>
    <t>0769IR190800036</t>
  </si>
  <si>
    <t>(JW)SYSTEM HOUSE FACTORY CO.</t>
  </si>
  <si>
    <t>SAU</t>
  </si>
  <si>
    <t>3985.00</t>
  </si>
  <si>
    <t>一般贸易/预收变电站自动化控制系统货款4926</t>
  </si>
  <si>
    <t>370600000101190924R001</t>
  </si>
  <si>
    <t>BP1076319000739</t>
  </si>
  <si>
    <t>253.00</t>
  </si>
  <si>
    <t>370600000101190924R002</t>
  </si>
  <si>
    <t>BP1076319000742</t>
  </si>
  <si>
    <t>71955.00</t>
  </si>
  <si>
    <t>370600000101190916R004</t>
  </si>
  <si>
    <t>BP1076319000683</t>
  </si>
  <si>
    <t>2019-09-20</t>
  </si>
  <si>
    <t>3239.00</t>
  </si>
  <si>
    <t>370600000101190916R005</t>
  </si>
  <si>
    <t>BP1076319000734</t>
  </si>
  <si>
    <t>11472.00</t>
  </si>
  <si>
    <t>370600000101190916R006</t>
  </si>
  <si>
    <t>BP1076319000733</t>
  </si>
  <si>
    <t>4778.00</t>
  </si>
  <si>
    <t>370600124701190911N005</t>
  </si>
  <si>
    <t>0769IR190900069</t>
  </si>
  <si>
    <t>2207479.00</t>
  </si>
  <si>
    <t>370600124701190909N001</t>
  </si>
  <si>
    <t>0769IR190900046</t>
  </si>
  <si>
    <t>(JW)SINERGI GIAT PERKASA</t>
  </si>
  <si>
    <t>IDN</t>
  </si>
  <si>
    <t>230000</t>
  </si>
  <si>
    <t>9715.00</t>
  </si>
  <si>
    <t>监控设备安装调试费收入</t>
  </si>
  <si>
    <t>370600000101190904R001</t>
  </si>
  <si>
    <t>BP1076319000672</t>
  </si>
  <si>
    <t>35151.00</t>
  </si>
  <si>
    <t>370600000101190904R003</t>
  </si>
  <si>
    <t>BP1076319000673</t>
  </si>
  <si>
    <t>17213.00</t>
  </si>
  <si>
    <t>370600000101190904R002</t>
  </si>
  <si>
    <t>BP1076319000677</t>
  </si>
  <si>
    <t>135143.00</t>
  </si>
  <si>
    <t>370600000101190904N01A</t>
  </si>
  <si>
    <t>TI19090400021171</t>
  </si>
  <si>
    <t>318.00</t>
  </si>
  <si>
    <t>370600000101191024N00Q</t>
  </si>
  <si>
    <t>TI19102300016316</t>
  </si>
  <si>
    <t>4073.00</t>
  </si>
  <si>
    <t>370600000101191017R002</t>
  </si>
  <si>
    <t>BP1076319000826</t>
  </si>
  <si>
    <t>744.00</t>
  </si>
  <si>
    <t>370600000101191017R001</t>
  </si>
  <si>
    <t>BP1076319000809</t>
  </si>
  <si>
    <t>17244.00</t>
  </si>
  <si>
    <t>370600000101191016R001</t>
  </si>
  <si>
    <t>BP1076319000168</t>
  </si>
  <si>
    <t>96192.00</t>
  </si>
  <si>
    <t>370600124701191010N007</t>
  </si>
  <si>
    <t>0769IR191000045</t>
  </si>
  <si>
    <t>2080279.00</t>
  </si>
  <si>
    <t>370600000101191009R001</t>
  </si>
  <si>
    <t>BP1076319000842</t>
  </si>
  <si>
    <t>4351.00</t>
  </si>
  <si>
    <t>370600000101191009R012</t>
  </si>
  <si>
    <t>BP1076319000843</t>
  </si>
  <si>
    <t>6090.00</t>
  </si>
  <si>
    <t>370600000101191009R007</t>
  </si>
  <si>
    <t>BP1076319000799</t>
  </si>
  <si>
    <t>33545.00</t>
  </si>
  <si>
    <t>370600000101191009R003</t>
  </si>
  <si>
    <t>BP1076319000802</t>
  </si>
  <si>
    <t>459.00</t>
  </si>
  <si>
    <t>370600000101191009R002</t>
  </si>
  <si>
    <t>BP1076319000808</t>
  </si>
  <si>
    <t>6930.00</t>
  </si>
  <si>
    <t>370600000101191008R009</t>
  </si>
  <si>
    <t>BP1076319000763</t>
  </si>
  <si>
    <t>2102.00</t>
  </si>
  <si>
    <t>370600000101191008R010</t>
  </si>
  <si>
    <t>BP1076319000740</t>
  </si>
  <si>
    <t>13511.00</t>
  </si>
  <si>
    <t>370600124701191127N003</t>
  </si>
  <si>
    <t>0769IR191100191</t>
  </si>
  <si>
    <t>2019-11-29</t>
  </si>
  <si>
    <t>3371184.00</t>
  </si>
  <si>
    <t>370600000101191127N00W</t>
  </si>
  <si>
    <t>TI19112700014383</t>
  </si>
  <si>
    <t>2209.00</t>
  </si>
  <si>
    <t>370600124701191121N001</t>
  </si>
  <si>
    <t>0769IR191100134</t>
  </si>
  <si>
    <t>(JW)ENOVA INTEGRATION CO LTD</t>
  </si>
  <si>
    <t>47978.00</t>
  </si>
  <si>
    <t>370600000101191108R001</t>
  </si>
  <si>
    <t>BP1076319000897</t>
  </si>
  <si>
    <t>248072.00</t>
  </si>
  <si>
    <t>370600000101191108R004</t>
  </si>
  <si>
    <t>BP1076319000898</t>
  </si>
  <si>
    <t>4446.00</t>
  </si>
  <si>
    <t>370600000101191108R002</t>
  </si>
  <si>
    <t>BP1076319000896</t>
  </si>
  <si>
    <t>963.00</t>
  </si>
  <si>
    <t>370600124701191101N009</t>
  </si>
  <si>
    <t>0769IR191100013</t>
  </si>
  <si>
    <t>8980.00</t>
  </si>
  <si>
    <t>370600124701191224N001</t>
  </si>
  <si>
    <t>0769IR191200180</t>
  </si>
  <si>
    <t>4501101.00</t>
  </si>
  <si>
    <t>370600000101191223N006</t>
  </si>
  <si>
    <t>TI19121900026378</t>
  </si>
  <si>
    <t>(JW)DONGFANG ELECTRONICS PRIVATE LIMITED</t>
  </si>
  <si>
    <t>113260.00</t>
  </si>
  <si>
    <t>370600000101191220R001</t>
  </si>
  <si>
    <t>BP1076319000879</t>
  </si>
  <si>
    <t>43774.00</t>
  </si>
  <si>
    <t>370600000101191218N00K</t>
  </si>
  <si>
    <t>TI19121700018252</t>
  </si>
  <si>
    <t>8310.00</t>
  </si>
  <si>
    <t>370600000101191217R005</t>
  </si>
  <si>
    <t>BP1076319000660</t>
  </si>
  <si>
    <t>23260.00</t>
  </si>
  <si>
    <t>370600000101191217N00G</t>
  </si>
  <si>
    <t>TI19121300024263</t>
  </si>
  <si>
    <t>4384.00</t>
  </si>
  <si>
    <t>370600000101191213N007</t>
  </si>
  <si>
    <t>TI19121100038698</t>
  </si>
  <si>
    <t>172238.00</t>
  </si>
  <si>
    <t>370600124701191212N001</t>
  </si>
  <si>
    <t>0769IR191200082</t>
  </si>
  <si>
    <t>2019-12-13</t>
  </si>
  <si>
    <t>14788.00</t>
  </si>
  <si>
    <t>370600000101191206N00G</t>
  </si>
  <si>
    <t>TI19120400015688</t>
  </si>
  <si>
    <t>529.00</t>
  </si>
  <si>
    <t>370600000101200115N00C</t>
  </si>
  <si>
    <t>TI20011400021725</t>
  </si>
  <si>
    <t>2020-01-17</t>
  </si>
  <si>
    <t>6615.00</t>
  </si>
  <si>
    <t>370600000101200113R001</t>
  </si>
  <si>
    <t>BP1076319001085</t>
  </si>
  <si>
    <t>17800.00</t>
  </si>
  <si>
    <t>370600000101200113R002</t>
  </si>
  <si>
    <t>BP1076319001084</t>
  </si>
  <si>
    <t>370600124701200221N004</t>
  </si>
  <si>
    <t>0769IR200200138</t>
  </si>
  <si>
    <t>(JW)INTEGRITY ENGINEERING CO.,LTD.</t>
  </si>
  <si>
    <t>128800.00</t>
  </si>
  <si>
    <t>370600124701200221N003</t>
  </si>
  <si>
    <t>0769IR200200137</t>
  </si>
  <si>
    <t>1473441.00</t>
  </si>
  <si>
    <t>370600000101200219R003</t>
  </si>
  <si>
    <t>BP1076319001225</t>
  </si>
  <si>
    <t>2020-02-21</t>
  </si>
  <si>
    <t>95084.00</t>
  </si>
  <si>
    <t>370600000101200211R004</t>
  </si>
  <si>
    <t>BP1076319001182</t>
  </si>
  <si>
    <t>2020-02-17</t>
  </si>
  <si>
    <t>41521.00</t>
  </si>
  <si>
    <t>370600000101200211R003</t>
  </si>
  <si>
    <t>BP1076319001181</t>
  </si>
  <si>
    <t>55510.00</t>
  </si>
  <si>
    <t>370600000101200211R001</t>
  </si>
  <si>
    <t>BP1076319001189</t>
  </si>
  <si>
    <t>25832.00</t>
  </si>
  <si>
    <t>370600000101200211R002</t>
  </si>
  <si>
    <t>BP1076319001190</t>
  </si>
  <si>
    <t>112175.00</t>
  </si>
  <si>
    <t>370600124701200207N010</t>
  </si>
  <si>
    <t>0769IR200200048</t>
  </si>
  <si>
    <t>2020-02-10</t>
  </si>
  <si>
    <t>48495.00</t>
  </si>
  <si>
    <t>370600124701200207N011</t>
  </si>
  <si>
    <t>0769IR200200049</t>
  </si>
  <si>
    <t>2535816.00</t>
  </si>
  <si>
    <t>370600124701200204N015</t>
  </si>
  <si>
    <t>0769IR200200020</t>
  </si>
  <si>
    <t>(JW)INES SA</t>
  </si>
  <si>
    <t>MAR</t>
  </si>
  <si>
    <t>4470.00</t>
  </si>
  <si>
    <t>370600000101200203R011</t>
  </si>
  <si>
    <t>BP1076319001109</t>
  </si>
  <si>
    <t>27785.00</t>
  </si>
  <si>
    <t>370600000101200331N00T</t>
  </si>
  <si>
    <t>TI20033100011384</t>
  </si>
  <si>
    <t>6823.00</t>
  </si>
  <si>
    <t>370600124701200330N001</t>
  </si>
  <si>
    <t>0769IR200300212</t>
  </si>
  <si>
    <t>1930415.00</t>
  </si>
  <si>
    <t>370600000101200317R001</t>
  </si>
  <si>
    <t>BP1076319001321</t>
  </si>
  <si>
    <t>123963.00</t>
  </si>
  <si>
    <t>370600124701200316N001</t>
  </si>
  <si>
    <t>0769IR200300110</t>
  </si>
  <si>
    <t>2020-03-18</t>
  </si>
  <si>
    <t>(JW)INTEGRITY ENGINEERING CO.,LTD</t>
  </si>
  <si>
    <t>223023</t>
  </si>
  <si>
    <t>14700.00</t>
  </si>
  <si>
    <t>公派出国一年以下培训费收入</t>
  </si>
  <si>
    <t>370600000101200311R002</t>
  </si>
  <si>
    <t>BP1076320000064</t>
  </si>
  <si>
    <t>2020-03-12</t>
  </si>
  <si>
    <t>370600000101200311R003</t>
  </si>
  <si>
    <t>BP1076319001324</t>
  </si>
  <si>
    <t>93852.00</t>
  </si>
  <si>
    <t>370600000101200311R001</t>
  </si>
  <si>
    <t>BP1076319001322</t>
  </si>
  <si>
    <t>29311.00</t>
  </si>
  <si>
    <t>370600000101200306R001</t>
  </si>
  <si>
    <t>BP1076319001318</t>
  </si>
  <si>
    <t>738.00</t>
  </si>
  <si>
    <t>370600124701200306N004</t>
  </si>
  <si>
    <t>0769IR200300063</t>
  </si>
  <si>
    <t>1805358.00</t>
  </si>
  <si>
    <t>370600000101200426R001</t>
  </si>
  <si>
    <t>BP1076320000113</t>
  </si>
  <si>
    <t>2020-04-27</t>
  </si>
  <si>
    <t>120615.00</t>
  </si>
  <si>
    <t>370600000101200422R003</t>
  </si>
  <si>
    <t>BP1076320000117</t>
  </si>
  <si>
    <t>50285.00</t>
  </si>
  <si>
    <t>370600000101200422R002</t>
  </si>
  <si>
    <t>BP1076320000112</t>
  </si>
  <si>
    <t>81022.00</t>
  </si>
  <si>
    <t>370600000101200422N00P</t>
  </si>
  <si>
    <t>TI20042200011692</t>
  </si>
  <si>
    <t>142.00</t>
  </si>
  <si>
    <t>一般贸易/出口连接器收汇</t>
  </si>
  <si>
    <t>370600000101200422Q7A0</t>
  </si>
  <si>
    <t>2020041649076551</t>
  </si>
  <si>
    <t xml:space="preserve">(JW)1/FRONTVIEW TECHNOLOGY CO LTD </t>
  </si>
  <si>
    <t>VGB</t>
  </si>
  <si>
    <t>59243.00</t>
  </si>
  <si>
    <t>一般贸易/出口远程控制终端收汇</t>
  </si>
  <si>
    <t>370600000101200422N007</t>
  </si>
  <si>
    <t>TI20042100032803</t>
  </si>
  <si>
    <t>(JW)INNOLITH SCIENCE AND TECHNOLOGY G MBH</t>
  </si>
  <si>
    <t>DEU</t>
  </si>
  <si>
    <t>3173.00</t>
  </si>
  <si>
    <t>370600000101200402R002</t>
  </si>
  <si>
    <t>BP1076320000054</t>
  </si>
  <si>
    <t>134013.00</t>
  </si>
  <si>
    <t>370600000101200402R001</t>
  </si>
  <si>
    <t>BP1076320000061</t>
  </si>
  <si>
    <t>21930.00</t>
  </si>
  <si>
    <t>370600000101200528R001</t>
  </si>
  <si>
    <t>BP1076320000131</t>
  </si>
  <si>
    <t>56184.00</t>
  </si>
  <si>
    <t>370600124701200513N001</t>
  </si>
  <si>
    <t>0769IR200500053</t>
  </si>
  <si>
    <t>519288.00</t>
  </si>
  <si>
    <t>370600124701200630N011</t>
  </si>
  <si>
    <t>0769IR200600240</t>
  </si>
  <si>
    <t>2020-07-02</t>
  </si>
  <si>
    <t>822874.00</t>
  </si>
  <si>
    <t>370600000101200628N00P</t>
  </si>
  <si>
    <t>TI20062700000597</t>
  </si>
  <si>
    <t>696256.00</t>
  </si>
  <si>
    <t>370600000101200616N00R</t>
  </si>
  <si>
    <t>TI20061600013801</t>
  </si>
  <si>
    <t>2020-06-19</t>
  </si>
  <si>
    <t>692.00</t>
  </si>
  <si>
    <t>370600124701200616N005</t>
  </si>
  <si>
    <t>0769IR200600126</t>
  </si>
  <si>
    <t>823613.00</t>
  </si>
  <si>
    <t>370600124701200612N001</t>
  </si>
  <si>
    <t>0769IR200600097</t>
  </si>
  <si>
    <t>59588.00</t>
  </si>
  <si>
    <t>370600000101200605N008</t>
  </si>
  <si>
    <t>TI20060400014620</t>
  </si>
  <si>
    <t>2281.00</t>
  </si>
  <si>
    <t>一般贸易/出口防水开关收汇</t>
  </si>
  <si>
    <t>370600000101200603R001</t>
  </si>
  <si>
    <t>BP1076320000202</t>
  </si>
  <si>
    <t>45200.00</t>
  </si>
  <si>
    <r>
      <rPr>
        <b/>
        <i/>
        <u/>
        <sz val="10"/>
        <color theme="1"/>
        <rFont val="微软雅黑"/>
        <family val="2"/>
        <charset val="134"/>
      </rPr>
      <t>说明：</t>
    </r>
    <r>
      <rPr>
        <sz val="10"/>
        <color theme="1"/>
        <rFont val="微软雅黑"/>
        <family val="2"/>
        <charset val="134"/>
      </rPr>
      <t>2019.7.1-2020.6.30期间，按照币种分，我公司分别完成收汇人民币2571万元、美元390万元。</t>
    </r>
  </si>
  <si>
    <t>（7）国际服务外包业务收汇金额（人民币万元）</t>
    <phoneticPr fontId="92" type="noConversion"/>
  </si>
  <si>
    <t>核减收汇金额（人民币金额）</t>
    <phoneticPr fontId="92" type="noConversion"/>
  </si>
  <si>
    <t>核减申请金额 (万元）</t>
    <phoneticPr fontId="92" type="noConversion"/>
  </si>
  <si>
    <t>审定收汇金额（人民币金额）</t>
    <phoneticPr fontId="92" type="noConversion"/>
  </si>
  <si>
    <t>审定比例（先按不同行业比例区间）</t>
    <phoneticPr fontId="92" type="noConversion"/>
  </si>
  <si>
    <t>合同和银行回单，涉外申报单仅能对应一项，企业表示放弃申请，但未开证明</t>
    <phoneticPr fontId="92" type="noConversion"/>
  </si>
  <si>
    <t>5%-10%企业按10%申请的</t>
    <phoneticPr fontId="92" type="noConversion"/>
  </si>
  <si>
    <t>淄博海创国际贸易有限公司</t>
    <phoneticPr fontId="92" type="noConversion"/>
  </si>
  <si>
    <t>系统小于50万</t>
    <phoneticPr fontId="92" type="noConversion"/>
  </si>
  <si>
    <t>银行回单无付款人信息</t>
    <phoneticPr fontId="92" type="noConversion"/>
  </si>
  <si>
    <t>汇率（日元0.0659 美元7.0795 澳元4.8657  欧元 7.961）</t>
    <phoneticPr fontId="92" type="noConversion"/>
  </si>
  <si>
    <t>（9）申请表金额（人民币万元）</t>
    <phoneticPr fontId="92" type="noConversion"/>
  </si>
  <si>
    <t>（10）申请金额（万美元）</t>
    <phoneticPr fontId="92" type="noConversion"/>
  </si>
  <si>
    <t>（13）审定比例（先按不同行业比例区间）</t>
    <phoneticPr fontId="92" type="noConversion"/>
  </si>
  <si>
    <t>国际服务外包业务收汇金额（美元）</t>
    <phoneticPr fontId="92" type="noConversion"/>
  </si>
  <si>
    <t>技术出口至山东齐阳石化工程设计有限公司（山东齐创石化子公司），怀疑是关联企业</t>
    <phoneticPr fontId="92" type="noConversion"/>
  </si>
  <si>
    <t>补充缺一半的合同、涉外收入申报单</t>
    <phoneticPr fontId="92" type="noConversion"/>
  </si>
  <si>
    <t>375.936（仅写收汇金额）</t>
    <phoneticPr fontId="92" type="noConversion"/>
  </si>
  <si>
    <t>10%-15%</t>
    <phoneticPr fontId="92" type="noConversion"/>
  </si>
  <si>
    <t>合同未写服务比例</t>
    <phoneticPr fontId="92" type="noConversion"/>
  </si>
  <si>
    <t>10%--15%</t>
    <phoneticPr fontId="92" type="noConversion"/>
  </si>
  <si>
    <r>
      <t>178.2</t>
    </r>
    <r>
      <rPr>
        <sz val="12"/>
        <color theme="1"/>
        <rFont val="宋体"/>
        <family val="3"/>
        <charset val="134"/>
        <scheme val="minor"/>
      </rPr>
      <t>(收汇金额)</t>
    </r>
    <phoneticPr fontId="92" type="noConversion"/>
  </si>
  <si>
    <t>15%-20%</t>
    <phoneticPr fontId="92" type="noConversion"/>
  </si>
  <si>
    <t>山东宝迪朗格健 身器材有限公司</t>
    <phoneticPr fontId="92" type="noConversion"/>
  </si>
  <si>
    <t>小于50万，排序乱，同意重新寄送资料</t>
    <phoneticPr fontId="92" type="noConversion"/>
  </si>
  <si>
    <r>
      <t>企业无合同，</t>
    </r>
    <r>
      <rPr>
        <sz val="12"/>
        <color rgb="FFFF0000"/>
        <rFont val="宋体"/>
        <family val="3"/>
        <charset val="134"/>
        <scheme val="minor"/>
      </rPr>
      <t>开会时需核实此情</t>
    </r>
    <r>
      <rPr>
        <sz val="12"/>
        <color theme="1"/>
        <rFont val="宋体"/>
        <family val="3"/>
        <charset val="134"/>
        <scheme val="minor"/>
      </rPr>
      <t>况</t>
    </r>
    <phoneticPr fontId="92" type="noConversion"/>
  </si>
  <si>
    <t>万</t>
    <phoneticPr fontId="92" type="noConversion"/>
  </si>
  <si>
    <t>核对后收汇金额</t>
    <phoneticPr fontId="92" type="noConversion"/>
  </si>
  <si>
    <r>
      <t>1</t>
    </r>
    <r>
      <rPr>
        <sz val="12"/>
        <color theme="1"/>
        <rFont val="宋体"/>
        <family val="3"/>
        <charset val="134"/>
        <scheme val="minor"/>
      </rPr>
      <t>0%-15%</t>
    </r>
    <phoneticPr fontId="92" type="noConversion"/>
  </si>
  <si>
    <t>汇率（日元0.0659 美元7.0795 澳元4.8657  欧元 7.961）</t>
    <phoneticPr fontId="92" type="noConversion"/>
  </si>
  <si>
    <t>合计（人民币）</t>
    <phoneticPr fontId="92" type="noConversion"/>
  </si>
  <si>
    <t>审定金额</t>
    <phoneticPr fontId="92" type="noConversion"/>
  </si>
  <si>
    <t>合同名称对不上</t>
  </si>
  <si>
    <t>合同名称对不上</t>
    <phoneticPr fontId="92" type="noConversion"/>
  </si>
  <si>
    <t>无发票</t>
    <phoneticPr fontId="92" type="noConversion"/>
  </si>
  <si>
    <t>（11）核减收汇金额（人民币万元）</t>
    <phoneticPr fontId="92" type="noConversion"/>
  </si>
  <si>
    <t>核减申请金额</t>
    <phoneticPr fontId="92" type="noConversion"/>
  </si>
  <si>
    <r>
      <t>（1）支持</t>
    </r>
    <r>
      <rPr>
        <sz val="12"/>
        <color rgb="FFFF0000"/>
        <rFont val="宋体"/>
        <family val="3"/>
        <charset val="134"/>
      </rPr>
      <t>取得国际通行资质认证及维护升级</t>
    </r>
    <r>
      <rPr>
        <sz val="12"/>
        <color theme="1"/>
        <rFont val="宋体"/>
        <family val="3"/>
        <charset val="134"/>
      </rPr>
      <t>。对取得国际通行的资质认证及维护、升级等费用给予全额支持。国际通行的资质认证项目以“服务外包管理信息系统”内目录为准（详见附件14）。</t>
    </r>
    <phoneticPr fontId="92" type="noConversion"/>
  </si>
  <si>
    <t>合同发包商是国内企业，本公司作为第三方转包，所以未实际收到外汇，予以核减</t>
    <phoneticPr fontId="92" type="noConversion"/>
  </si>
  <si>
    <t>山东卓创资讯股份有限公司</t>
    <phoneticPr fontId="92" type="noConversion"/>
  </si>
  <si>
    <r>
      <t>核减金额是合同金额与收汇金额差异所致，本公司为资讯业务，</t>
    </r>
    <r>
      <rPr>
        <sz val="12"/>
        <color rgb="FFFF0000"/>
        <rFont val="宋体"/>
        <family val="3"/>
        <charset val="134"/>
        <scheme val="minor"/>
      </rPr>
      <t>是否需要乘相关比例</t>
    </r>
    <phoneticPr fontId="92" type="noConversion"/>
  </si>
  <si>
    <t>2018年度中国最具影响力外包五十强，两个均为2018年度</t>
    <phoneticPr fontId="92" type="noConversion"/>
  </si>
  <si>
    <t>看不清</t>
    <phoneticPr fontId="92" type="noConversion"/>
  </si>
  <si>
    <t>无品牌建设证书，提供材料无相关机关盖章</t>
    <phoneticPr fontId="92" type="noConversion"/>
  </si>
  <si>
    <t>关联交易</t>
    <phoneticPr fontId="92" type="noConversion"/>
  </si>
  <si>
    <t>信息服务企业，接近50万美元的临界值</t>
    <phoneticPr fontId="92" type="noConversion"/>
  </si>
  <si>
    <t>环保处罚</t>
    <phoneticPr fontId="92" type="noConversion"/>
  </si>
  <si>
    <t>印度SMIORE年产40万吨非回收型立式焦炉项目专业服务合同，合同号GJ-2018-0424</t>
    <phoneticPr fontId="92" type="noConversion"/>
  </si>
  <si>
    <t>（12）审定收汇金额（人民币万元）</t>
    <phoneticPr fontId="92" type="noConversion"/>
  </si>
  <si>
    <t>补充涉外申报单</t>
    <phoneticPr fontId="92" type="noConversion"/>
  </si>
  <si>
    <t>（14）核定金额（万元）</t>
    <phoneticPr fontId="92" type="noConversion"/>
  </si>
  <si>
    <t>系统金额（美元万元）</t>
    <phoneticPr fontId="92" type="noConversion"/>
  </si>
  <si>
    <t>系统金额（人民币万元）</t>
    <phoneticPr fontId="92" type="noConversion"/>
  </si>
  <si>
    <t>山东齐芯微系统科技股份有限公司</t>
    <phoneticPr fontId="92" type="noConversion"/>
  </si>
  <si>
    <t>关联交易</t>
    <phoneticPr fontId="92" type="noConversion"/>
  </si>
  <si>
    <t xml:space="preserve">申请表金额（人民币万元）       </t>
    <phoneticPr fontId="92" type="noConversion"/>
  </si>
  <si>
    <t>淄博银仕来纺织有限公司</t>
    <phoneticPr fontId="92" type="noConversion"/>
  </si>
  <si>
    <t>系统数据（美元）</t>
    <phoneticPr fontId="92" type="noConversion"/>
  </si>
  <si>
    <t>系统数据（人民币）</t>
    <phoneticPr fontId="92" type="noConversion"/>
  </si>
  <si>
    <t>补充涉外申报单</t>
    <phoneticPr fontId="92" type="noConversion"/>
  </si>
  <si>
    <t>文登大成电子有限公司</t>
    <phoneticPr fontId="92" type="noConversion"/>
  </si>
  <si>
    <t>荣成康派斯新能源车辆股份有限公司</t>
  </si>
  <si>
    <t>×无真实性承诺书，单位情况说明无法人签字</t>
  </si>
  <si>
    <t>×（没有涉外收入申报单）</t>
  </si>
  <si>
    <t>山东省永信非织造材料有限公司</t>
    <phoneticPr fontId="92" type="noConversion"/>
  </si>
  <si>
    <t>最终审定金额（万元）</t>
    <phoneticPr fontId="92" type="noConversion"/>
  </si>
  <si>
    <t>合鸿新材料科技有限公司</t>
    <phoneticPr fontId="92" type="noConversion"/>
  </si>
  <si>
    <t>威海</t>
    <phoneticPr fontId="92" type="noConversion"/>
  </si>
  <si>
    <t>鼓励服务外包企业加快发展国际服务外包业务</t>
    <phoneticPr fontId="92" type="noConversion"/>
  </si>
  <si>
    <t>山东高速尼罗投资发展有限公司</t>
  </si>
  <si>
    <t>支持取得国际通行资质认证及维护升级</t>
    <phoneticPr fontId="92" type="noConversion"/>
  </si>
  <si>
    <t>山东省国际承包劳务商会授予，无相关证书</t>
    <phoneticPr fontId="92" type="noConversion"/>
  </si>
  <si>
    <t>√</t>
    <phoneticPr fontId="92" type="noConversion"/>
  </si>
  <si>
    <t>济南</t>
    <phoneticPr fontId="92" type="noConversion"/>
  </si>
  <si>
    <t>进项税抵减</t>
  </si>
  <si>
    <t>进项税抵减</t>
    <phoneticPr fontId="92" type="noConversion"/>
  </si>
  <si>
    <t>审定数据与系统数据两者取其低</t>
  </si>
  <si>
    <t>不适用</t>
    <phoneticPr fontId="92" type="noConversion"/>
  </si>
  <si>
    <t>济南华信计算机信息技术有限公司</t>
    <phoneticPr fontId="92" type="noConversion"/>
  </si>
  <si>
    <t>济南</t>
    <phoneticPr fontId="92" type="noConversion"/>
  </si>
  <si>
    <t>支持企业人才培训</t>
    <phoneticPr fontId="92" type="noConversion"/>
  </si>
  <si>
    <t>×无承诺书</t>
  </si>
  <si>
    <t>企业按40%核算设计费导致差异</t>
    <phoneticPr fontId="92" type="noConversion"/>
  </si>
  <si>
    <t>淄博</t>
    <phoneticPr fontId="92" type="noConversion"/>
  </si>
  <si>
    <t>审计报告不完整</t>
    <phoneticPr fontId="92" type="noConversion"/>
  </si>
  <si>
    <t>戈尔特西斯科技（济南）有限公司</t>
    <phoneticPr fontId="92" type="noConversion"/>
  </si>
  <si>
    <t>济南讯和信息技术有限公司</t>
    <phoneticPr fontId="92" type="noConversion"/>
  </si>
  <si>
    <r>
      <t>0</t>
    </r>
    <r>
      <rPr>
        <sz val="11"/>
        <color theme="1"/>
        <rFont val="宋体"/>
        <family val="3"/>
        <charset val="134"/>
        <scheme val="minor"/>
      </rPr>
      <t>531-88878811（6）</t>
    </r>
    <phoneticPr fontId="92" type="noConversion"/>
  </si>
  <si>
    <t>0531-67808761</t>
    <phoneticPr fontId="92" type="noConversion"/>
  </si>
  <si>
    <t>张宗凤：15069087468</t>
    <phoneticPr fontId="92" type="noConversion"/>
  </si>
  <si>
    <t>高敬萍13705319525</t>
    <phoneticPr fontId="92" type="noConversion"/>
  </si>
  <si>
    <t>增值税进项税核减，付给个人款项扣除</t>
    <phoneticPr fontId="92" type="noConversion"/>
  </si>
  <si>
    <t>增值税进项税核减，21万在2020年8月支付</t>
    <phoneticPr fontId="92" type="noConversion"/>
  </si>
  <si>
    <t>浪潮天元通信信息系统有限公司</t>
    <phoneticPr fontId="92" type="noConversion"/>
  </si>
  <si>
    <t>烟台</t>
    <phoneticPr fontId="92" type="noConversion"/>
  </si>
  <si>
    <t>山东东洋泰工艺品有限公司</t>
    <phoneticPr fontId="92" type="noConversion"/>
  </si>
  <si>
    <t>支持取得国际通行资质认证及维护升级</t>
    <phoneticPr fontId="92" type="noConversion"/>
  </si>
  <si>
    <t>√</t>
    <phoneticPr fontId="92" type="noConversion"/>
  </si>
  <si>
    <t>核减原因：扣除进项税</t>
    <phoneticPr fontId="92" type="noConversion"/>
  </si>
  <si>
    <t>鼓励服务外包企业加快发展国际服务外包业务</t>
    <phoneticPr fontId="92" type="noConversion"/>
  </si>
  <si>
    <t>济南</t>
    <phoneticPr fontId="92" type="noConversion"/>
  </si>
  <si>
    <t>刘晗：18646898968</t>
    <phoneticPr fontId="92" type="noConversion"/>
  </si>
  <si>
    <t>审定金额与系统数据孰低</t>
    <phoneticPr fontId="92" type="noConversion"/>
  </si>
  <si>
    <t>支持企业人才培训</t>
    <phoneticPr fontId="92" type="noConversion"/>
  </si>
  <si>
    <t>不适用</t>
    <phoneticPr fontId="92" type="noConversion"/>
  </si>
  <si>
    <t>张善景：18253184848</t>
    <phoneticPr fontId="92" type="noConversion"/>
  </si>
  <si>
    <t>济南华信计算机信息技术有限公司</t>
    <phoneticPr fontId="92" type="noConversion"/>
  </si>
  <si>
    <t>威海国际经济技术合作股份有限公司</t>
  </si>
  <si>
    <t>济南讯和信息技术有限公司</t>
  </si>
  <si>
    <t>淄博</t>
    <phoneticPr fontId="92" type="noConversion"/>
  </si>
  <si>
    <t>承诺书</t>
    <phoneticPr fontId="92" type="noConversion"/>
  </si>
  <si>
    <t>√收入明细清单和涉外收入申报单已补充</t>
    <phoneticPr fontId="92" type="noConversion"/>
  </si>
  <si>
    <t>山东超越轻工制品有限公司</t>
    <phoneticPr fontId="92" type="noConversion"/>
  </si>
  <si>
    <t>李萍：13806481047 、0533-6283133 、0533-6280999</t>
    <phoneticPr fontId="92" type="noConversion"/>
  </si>
  <si>
    <t>李萍：13806481047 、0533-6283133 、0533-6281000</t>
  </si>
  <si>
    <t>威海</t>
    <phoneticPr fontId="92" type="noConversion"/>
  </si>
  <si>
    <t>核减原因：扣除进项税额</t>
    <phoneticPr fontId="92" type="noConversion"/>
  </si>
  <si>
    <t>聂春航：13863006035  0631-8086799-323</t>
    <phoneticPr fontId="92" type="noConversion"/>
  </si>
  <si>
    <t>聂春航：13863006035  0631-8086799-324</t>
  </si>
  <si>
    <t>富士软件科技（山东）有限公司</t>
    <phoneticPr fontId="92" type="noConversion"/>
  </si>
  <si>
    <t>宋丽媛：15863157631  0531-86170190</t>
    <phoneticPr fontId="92" type="noConversion"/>
  </si>
  <si>
    <t>全部核减：培训时间非规定时间</t>
    <phoneticPr fontId="92" type="noConversion"/>
  </si>
  <si>
    <t>宋丽媛：15863157631  0531-86170191</t>
  </si>
  <si>
    <t>宋丽媛：15863157631  0531-86170192</t>
  </si>
  <si>
    <t>徐秀丽13210539169</t>
  </si>
  <si>
    <t>×单位基本信息无法人签字</t>
  </si>
  <si>
    <t>×无法人签字</t>
  </si>
  <si>
    <t>鲁泰纺织股份有限公司</t>
  </si>
  <si>
    <t>×申请文件无法人签字</t>
  </si>
  <si>
    <t>威海萨克迪汽车安全系统有限公司</t>
  </si>
  <si>
    <t>×单位情况说明无法人签字（承诺书放在最后部分）</t>
  </si>
  <si>
    <t>×需要银行提供相关证明</t>
  </si>
  <si>
    <t>×申请报告缺少法人签字</t>
  </si>
  <si>
    <t>√（在审计报告之后）</t>
  </si>
  <si>
    <t>部分未找到合同及发票、进项税扣除</t>
    <phoneticPr fontId="92" type="noConversion"/>
  </si>
  <si>
    <t>米寒13854189165</t>
  </si>
  <si>
    <t>核减</t>
    <phoneticPr fontId="92" type="noConversion"/>
  </si>
  <si>
    <t>核定额</t>
    <phoneticPr fontId="92" type="noConversion"/>
  </si>
  <si>
    <t>鲁丰纺织股份有限公司</t>
  </si>
  <si>
    <t>淄博宜臣轻工制品有限公司</t>
  </si>
  <si>
    <t>2019年6月发生的支出</t>
    <phoneticPr fontId="92" type="noConversion"/>
  </si>
  <si>
    <t>部分无涉外申报单与银行回单</t>
    <phoneticPr fontId="92" type="noConversion"/>
  </si>
  <si>
    <t>×银行付款凭证走个人户</t>
    <phoneticPr fontId="92" type="noConversion"/>
  </si>
  <si>
    <t>全部为翻译费用</t>
    <phoneticPr fontId="92" type="noConversion"/>
  </si>
  <si>
    <t>2019.6.28收款365万美元，不在审核期，已核减</t>
    <phoneticPr fontId="92" type="noConversion"/>
  </si>
  <si>
    <t>×</t>
  </si>
  <si>
    <t>✔</t>
  </si>
  <si>
    <t>滨州市</t>
  </si>
  <si>
    <t>潍坊</t>
  </si>
  <si>
    <t>待定（合规承诺书)</t>
  </si>
  <si>
    <t>×(涉外收入申报单）</t>
  </si>
  <si>
    <t>山东豪迈机械科技股份有限公司</t>
    <phoneticPr fontId="92" type="noConversion"/>
  </si>
  <si>
    <t>缺少社会保险缴纳证明原件</t>
  </si>
  <si>
    <t>205人</t>
  </si>
  <si>
    <t>技术出口</t>
    <phoneticPr fontId="92" type="noConversion"/>
  </si>
  <si>
    <t>×（没有收入明细清单）</t>
  </si>
  <si>
    <t>无企业与服务外包发包商签订的服务外包合同（复印件）</t>
  </si>
  <si>
    <t>缺少涉外收入申报单</t>
  </si>
  <si>
    <t>田松：15726465758 0536-5105565</t>
  </si>
  <si>
    <t>陈美君 0536-2361037</t>
  </si>
  <si>
    <t>金梅娥   13884829060</t>
  </si>
  <si>
    <t>曹岩15953557791</t>
  </si>
  <si>
    <t>扣除进项税</t>
    <phoneticPr fontId="92" type="noConversion"/>
  </si>
  <si>
    <t xml:space="preserve">王洪波          0535-6517693  18660095777                    </t>
  </si>
  <si>
    <t>李传荣：13853866757 0538-8509377</t>
  </si>
  <si>
    <t>增值税进项税核减</t>
    <phoneticPr fontId="92" type="noConversion"/>
  </si>
  <si>
    <t>山东飞尔康体育设施有限公司</t>
    <phoneticPr fontId="92" type="noConversion"/>
  </si>
  <si>
    <t>√</t>
    <phoneticPr fontId="92" type="noConversion"/>
  </si>
  <si>
    <t>缺少注会盖章</t>
    <phoneticPr fontId="92" type="noConversion"/>
  </si>
  <si>
    <t>缺少与境外活动主办方或组织方签订的合同复印件</t>
    <phoneticPr fontId="92" type="noConversion"/>
  </si>
  <si>
    <t>济南译软信息技术有限公司</t>
    <phoneticPr fontId="92" type="noConversion"/>
  </si>
  <si>
    <t>济南译软信息技术有限公司</t>
    <phoneticPr fontId="92" type="noConversion"/>
  </si>
  <si>
    <t>品牌获奖无证书</t>
    <phoneticPr fontId="92" type="noConversion"/>
  </si>
  <si>
    <t>山东丽能电力技术股份有限公司</t>
    <phoneticPr fontId="92" type="noConversion"/>
  </si>
  <si>
    <t>无证书</t>
    <phoneticPr fontId="92" type="noConversion"/>
  </si>
  <si>
    <t>王红芸15863298768；0536-8191231</t>
  </si>
  <si>
    <t>潍坊乐维特建筑技术有限公司</t>
  </si>
  <si>
    <t>无《真实性承诺书》</t>
  </si>
  <si>
    <t>山东环球软件股份有限公司</t>
    <phoneticPr fontId="92" type="noConversion"/>
  </si>
  <si>
    <t>进项税扣除及部分金额未对应</t>
    <phoneticPr fontId="92" type="noConversion"/>
  </si>
  <si>
    <t>关联交易，已开证明</t>
    <phoneticPr fontId="92" type="noConversion"/>
  </si>
  <si>
    <t>行业最低比例差异</t>
    <phoneticPr fontId="92" type="noConversion"/>
  </si>
  <si>
    <t>技术进口</t>
    <phoneticPr fontId="92" type="noConversion"/>
  </si>
  <si>
    <t>淄博金田轻工制品有限公司</t>
    <phoneticPr fontId="92" type="noConversion"/>
  </si>
  <si>
    <t>济南</t>
    <phoneticPr fontId="92" type="noConversion"/>
  </si>
  <si>
    <t>√</t>
    <phoneticPr fontId="92" type="noConversion"/>
  </si>
  <si>
    <t>少一张注会证书</t>
    <phoneticPr fontId="92" type="noConversion"/>
  </si>
  <si>
    <t>无证书</t>
    <phoneticPr fontId="92" type="noConversion"/>
  </si>
  <si>
    <t>部分合同与银行回单核对不一致，已核减</t>
    <phoneticPr fontId="92" type="noConversion"/>
  </si>
  <si>
    <t>山东豪迈机械科技股份有限公司</t>
    <phoneticPr fontId="92" type="noConversion"/>
  </si>
  <si>
    <t>山东泰开电力建设工程有限公司</t>
    <phoneticPr fontId="92" type="noConversion"/>
  </si>
  <si>
    <t>山东泰开电力建设工程有限公司</t>
    <phoneticPr fontId="92" type="noConversion"/>
  </si>
  <si>
    <t>不适用</t>
    <phoneticPr fontId="92" type="noConversion"/>
  </si>
  <si>
    <t>韩伟：13031725188</t>
    <phoneticPr fontId="92" type="noConversion"/>
  </si>
  <si>
    <t>软件企业按100%</t>
    <phoneticPr fontId="92" type="noConversion"/>
  </si>
  <si>
    <t>翟小婷：13869336420</t>
    <phoneticPr fontId="92" type="noConversion"/>
  </si>
  <si>
    <t>淄博市淄川振华玻璃制品有限公司</t>
  </si>
  <si>
    <t>承诺书</t>
  </si>
  <si>
    <t>不适用</t>
  </si>
  <si>
    <t>扣除进项税额</t>
    <phoneticPr fontId="92" type="noConversion"/>
  </si>
  <si>
    <t>浪潮世科（山东）信息技术有限公司</t>
    <phoneticPr fontId="92" type="noConversion"/>
  </si>
  <si>
    <t>联暻半导体（山东）有限公司</t>
    <phoneticPr fontId="92" type="noConversion"/>
  </si>
  <si>
    <t>江爱会：18264185669</t>
  </si>
  <si>
    <t>企业自行放弃</t>
  </si>
  <si>
    <t>√</t>
    <phoneticPr fontId="92" type="noConversion"/>
  </si>
  <si>
    <t>淄博丰之源贸易有限公司</t>
  </si>
  <si>
    <t>鼓励服务外包企业加快发展国际服务外包业务</t>
    <phoneticPr fontId="92" type="noConversion"/>
  </si>
  <si>
    <t>济南</t>
    <phoneticPr fontId="92" type="noConversion"/>
  </si>
  <si>
    <t>山东齐创石化工程有限公司</t>
  </si>
  <si>
    <t>山东电力工程咨询院有限公司</t>
  </si>
  <si>
    <t>境外专利申请证书及费用支出凭证复印件。</t>
  </si>
  <si>
    <t>技术出口</t>
  </si>
  <si>
    <t>学员签到表、收费标准</t>
  </si>
  <si>
    <t>培训费用预算和决算（或专项审计报告）</t>
  </si>
  <si>
    <t>艾瑞（威海）信息技术有限公司</t>
  </si>
  <si>
    <t>中车山东机车车辆有限公司</t>
  </si>
  <si>
    <t>赵才宝  15554159437</t>
  </si>
  <si>
    <t>牛晓莲：13573704997</t>
  </si>
  <si>
    <t>毕鲁军：13287862879</t>
  </si>
  <si>
    <t>核减原因：多报了金额</t>
  </si>
  <si>
    <t>13376409460 张鹏</t>
  </si>
  <si>
    <t>核减原因：申请金额是乱入的</t>
  </si>
  <si>
    <t>进项税扣除</t>
  </si>
  <si>
    <t>核减原因：扣除进项税</t>
  </si>
  <si>
    <t>缺少 培训费用预算和决算,其他培训费用无银行回单</t>
  </si>
  <si>
    <t>核减原因：有一笔付款人对不上及比例原因</t>
  </si>
  <si>
    <t>郭庆华：15606315913</t>
  </si>
  <si>
    <t>社保证明需重新提供</t>
  </si>
  <si>
    <t>杨凌爱：13963111924</t>
  </si>
  <si>
    <t>只提供了7万日元的回单</t>
  </si>
  <si>
    <t>优创（济南）数据技术有限公司</t>
    <phoneticPr fontId="92" type="noConversion"/>
  </si>
  <si>
    <t>李晓婷：15688837799</t>
    <phoneticPr fontId="92" type="noConversion"/>
  </si>
  <si>
    <t>艾瑞（威海）信息技术有限公司</t>
    <phoneticPr fontId="92" type="noConversion"/>
  </si>
  <si>
    <t>济南讯和信息技术有限公司</t>
    <phoneticPr fontId="92" type="noConversion"/>
  </si>
  <si>
    <t>进行税扣除</t>
    <phoneticPr fontId="92" type="noConversion"/>
  </si>
  <si>
    <t>扣除进项税额</t>
    <phoneticPr fontId="92" type="noConversion"/>
  </si>
  <si>
    <t>伊朗项目按照6%比例核实服务费，但在合同中未体现，但低于行业比例，故认可</t>
    <phoneticPr fontId="92" type="noConversion"/>
  </si>
  <si>
    <t>富士软件科技（山东）有限公司</t>
    <phoneticPr fontId="92" type="noConversion"/>
  </si>
  <si>
    <t>核减原因：筛掉了一个资质认证；另一个认证不在认证范围</t>
    <phoneticPr fontId="92" type="noConversion"/>
  </si>
  <si>
    <t>收汇额乘最低比例作为审定额，与企业自行核定比例导致差异</t>
    <phoneticPr fontId="92" type="noConversion"/>
  </si>
  <si>
    <t>涉外收入申报单错误，且无银行盖章</t>
    <phoneticPr fontId="92" type="noConversion"/>
  </si>
  <si>
    <t>东方电子股份有限公司</t>
    <phoneticPr fontId="92" type="noConversion"/>
  </si>
  <si>
    <t>东方电子股份有限公司</t>
    <phoneticPr fontId="92" type="noConversion"/>
  </si>
  <si>
    <t>两个无证书，电力协会未认可</t>
    <phoneticPr fontId="92" type="noConversion"/>
  </si>
  <si>
    <t>现代汽车研发中心</t>
  </si>
  <si>
    <t>烟台</t>
    <phoneticPr fontId="92" type="noConversion"/>
  </si>
  <si>
    <t>✖（收汇单位填写错误，应为美元，实际填写人民币）</t>
  </si>
  <si>
    <t>第17项业务录入错误,没有真实性承诺书</t>
    <phoneticPr fontId="92" type="noConversion"/>
  </si>
  <si>
    <t>李文姬18053586170</t>
  </si>
  <si>
    <t>核减原因：进项税</t>
    <phoneticPr fontId="92" type="noConversion"/>
  </si>
  <si>
    <t>核减原因：合同金额与收汇金额取低</t>
    <phoneticPr fontId="92" type="noConversion"/>
  </si>
  <si>
    <t>谭 13573772669</t>
    <phoneticPr fontId="92" type="noConversion"/>
  </si>
  <si>
    <t>山东天海新材料工程有限公司</t>
    <phoneticPr fontId="92" type="noConversion"/>
  </si>
  <si>
    <t>李传荣：0538-8625668 13853866757</t>
    <phoneticPr fontId="92" type="noConversion"/>
  </si>
  <si>
    <t>同一人不同阶段重复报</t>
  </si>
  <si>
    <t>涉外收入申报单已寄出，核减原因：部分银行回执没报全按现有银行回执金额给予补贴</t>
    <phoneticPr fontId="92" type="noConversion"/>
  </si>
  <si>
    <t>张敏：18953310155</t>
    <phoneticPr fontId="92" type="noConversion"/>
  </si>
  <si>
    <t>很多银行回单没有付款信息，已核减</t>
  </si>
  <si>
    <t>文登市迈世腾有限公司</t>
  </si>
  <si>
    <t>东方电子股份有限公司</t>
    <phoneticPr fontId="92" type="noConversion"/>
  </si>
  <si>
    <t>山东省永信非织造材料有限公司</t>
    <phoneticPr fontId="92" type="noConversion"/>
  </si>
  <si>
    <t>山东力诺特种玻璃股份有限公司</t>
    <phoneticPr fontId="92" type="noConversion"/>
  </si>
  <si>
    <t>山东东方道迩数字数据技术有限公司</t>
    <phoneticPr fontId="92" type="noConversion"/>
  </si>
  <si>
    <t>淄博</t>
    <phoneticPr fontId="92" type="noConversion"/>
  </si>
  <si>
    <t>山东中印服务外包培训机构人才培训</t>
    <phoneticPr fontId="92" type="noConversion"/>
  </si>
  <si>
    <t>山东太古飞机工程有限公司</t>
  </si>
  <si>
    <t>威海</t>
    <phoneticPr fontId="92" type="noConversion"/>
  </si>
  <si>
    <t>浪潮世科（山东）信息技术有限公司</t>
    <phoneticPr fontId="92" type="noConversion"/>
  </si>
  <si>
    <t>济南译软信息技术有限公司</t>
    <phoneticPr fontId="92" type="noConversion"/>
  </si>
  <si>
    <t>济南</t>
    <phoneticPr fontId="92" type="noConversion"/>
  </si>
  <si>
    <t>威海</t>
    <phoneticPr fontId="92" type="noConversion"/>
  </si>
  <si>
    <t>刘金阁：18560030392 0531-83687455</t>
    <phoneticPr fontId="92" type="noConversion"/>
  </si>
  <si>
    <r>
      <t>刘金阁：18560030392 0531-83687456</t>
    </r>
    <r>
      <rPr>
        <sz val="11"/>
        <color theme="1"/>
        <rFont val="宋体"/>
        <family val="2"/>
        <charset val="134"/>
        <scheme val="minor"/>
      </rPr>
      <t/>
    </r>
  </si>
  <si>
    <r>
      <t>刘金阁：18560030392 0531-83687457</t>
    </r>
    <r>
      <rPr>
        <sz val="11"/>
        <color theme="1"/>
        <rFont val="宋体"/>
        <family val="2"/>
        <charset val="134"/>
        <scheme val="minor"/>
      </rPr>
      <t/>
    </r>
  </si>
  <si>
    <t>王丽萍13806407272；0531-83292085</t>
    <phoneticPr fontId="92" type="noConversion"/>
  </si>
  <si>
    <t>王军：18963167689</t>
    <phoneticPr fontId="92" type="noConversion"/>
  </si>
  <si>
    <t>赵庚：13505330532</t>
    <phoneticPr fontId="92" type="noConversion"/>
  </si>
  <si>
    <t>核减原因：比例不同（他家按40%），涉外收入申报单缺失，银行回单看不清</t>
    <phoneticPr fontId="92" type="noConversion"/>
  </si>
  <si>
    <t>隗义红：18663765425</t>
    <phoneticPr fontId="92" type="noConversion"/>
  </si>
  <si>
    <t>济南</t>
    <phoneticPr fontId="92" type="noConversion"/>
  </si>
  <si>
    <t>支持取得国际通行资质认证及维护升级</t>
    <phoneticPr fontId="92" type="noConversion"/>
  </si>
  <si>
    <t>支持企业人才培训</t>
    <phoneticPr fontId="92" type="noConversion"/>
  </si>
  <si>
    <t>烟台检验认证有限公司</t>
    <phoneticPr fontId="92" type="noConversion"/>
  </si>
  <si>
    <t>均为检验费</t>
    <phoneticPr fontId="92" type="noConversion"/>
  </si>
  <si>
    <t>山东飞尔康体育设施有限公司</t>
    <phoneticPr fontId="92" type="noConversion"/>
  </si>
  <si>
    <t>山东丽能电力技术股份有限公司</t>
    <phoneticPr fontId="92" type="noConversion"/>
  </si>
  <si>
    <t>合同发包商与付款方不一致，核减其部分</t>
    <phoneticPr fontId="92" type="noConversion"/>
  </si>
  <si>
    <t>潍坊科苑数字科技有限责任公司</t>
    <phoneticPr fontId="92" type="noConversion"/>
  </si>
  <si>
    <t>技术出口</t>
    <phoneticPr fontId="92" type="noConversion"/>
  </si>
  <si>
    <t>烟台中集来福士海洋工程有限公司</t>
    <phoneticPr fontId="92" type="noConversion"/>
  </si>
  <si>
    <t>济南</t>
    <phoneticPr fontId="92" type="noConversion"/>
  </si>
  <si>
    <t>合鸿新材料科技有限公司</t>
  </si>
  <si>
    <t>济南华信计算机信息技术有限公司</t>
  </si>
  <si>
    <t>山东中印服务外包培训机构人才培训</t>
  </si>
  <si>
    <t>济南利达智通信息技术有限公司</t>
    <phoneticPr fontId="92" type="noConversion"/>
  </si>
  <si>
    <t>鲁泰纺织股份有限公司</t>
    <phoneticPr fontId="92" type="noConversion"/>
  </si>
  <si>
    <t>华纺股份有限公司</t>
    <phoneticPr fontId="92" type="noConversion"/>
  </si>
  <si>
    <t>亿帆环球科技（济南）有限公司</t>
    <phoneticPr fontId="92" type="noConversion"/>
  </si>
  <si>
    <t>山东威达机械股份有限公司</t>
    <phoneticPr fontId="92" type="noConversion"/>
  </si>
  <si>
    <t>系统额</t>
    <phoneticPr fontId="92" type="noConversion"/>
  </si>
  <si>
    <t xml:space="preserve">核定金额(元) </t>
    <phoneticPr fontId="92" type="noConversion"/>
  </si>
  <si>
    <t>山东泰开电力建设工程有限公司</t>
    <phoneticPr fontId="92" type="noConversion"/>
  </si>
  <si>
    <t>部分无银行回单</t>
    <phoneticPr fontId="92" type="noConversion"/>
  </si>
  <si>
    <t>中国电建集团山东电力建设有限公司</t>
    <phoneticPr fontId="92" type="noConversion"/>
  </si>
  <si>
    <t>合同中有材料采购，故按20%核算</t>
    <phoneticPr fontId="92" type="noConversion"/>
  </si>
  <si>
    <r>
      <t>签约方与付款方不一致，商务厅张处长</t>
    </r>
    <r>
      <rPr>
        <b/>
        <sz val="14"/>
        <rFont val="宋体"/>
        <family val="3"/>
        <charset val="134"/>
      </rPr>
      <t>修船行业特殊，企业开具证明即使认可；合同中规定钢板、钢管由船厂提供，故按20%</t>
    </r>
    <phoneticPr fontId="92" type="noConversion"/>
  </si>
  <si>
    <t>很大部分收费是燃料、配件，企业没有划分，故按20%精密设备核算</t>
    <phoneticPr fontId="92" type="noConversion"/>
  </si>
  <si>
    <t>山东东方道迩数字数据技术有限公司</t>
    <phoneticPr fontId="92" type="noConversion"/>
  </si>
  <si>
    <t>发票金额小于申报额，部分发票开给个人</t>
    <phoneticPr fontId="92" type="noConversion"/>
  </si>
  <si>
    <t>济南</t>
    <phoneticPr fontId="92" type="noConversion"/>
  </si>
  <si>
    <t>支持企业获得技术研发创新奖项</t>
    <phoneticPr fontId="92" type="noConversion"/>
  </si>
  <si>
    <t>部分银行回单看不清核减</t>
    <phoneticPr fontId="92" type="noConversion"/>
  </si>
  <si>
    <t>部分银行回单不清晰，企业放弃补充</t>
    <phoneticPr fontId="92" type="noConversion"/>
  </si>
  <si>
    <t>济南利达智通信息技术有限公司</t>
    <phoneticPr fontId="92" type="noConversion"/>
  </si>
  <si>
    <t>山东电力工程咨询院有限公司</t>
    <phoneticPr fontId="92" type="noConversion"/>
  </si>
  <si>
    <t>一张发票不清晰</t>
    <phoneticPr fontId="92" type="noConversion"/>
  </si>
  <si>
    <t>荣成康派斯</t>
  </si>
  <si>
    <t>威海英特曼家居有限公司</t>
    <phoneticPr fontId="92" type="noConversion"/>
  </si>
  <si>
    <t>山东银丰家用纺织品有限公司</t>
    <phoneticPr fontId="92" type="noConversion"/>
  </si>
  <si>
    <t>文登市迈世腾有限公司</t>
    <phoneticPr fontId="92" type="noConversion"/>
  </si>
  <si>
    <t>山东华民钢球股份有限公司</t>
    <phoneticPr fontId="92" type="noConversion"/>
  </si>
  <si>
    <t>济南世芯电子科技有限公司</t>
    <phoneticPr fontId="92" type="noConversion"/>
  </si>
  <si>
    <t>山东科源制药股份有限公司</t>
    <phoneticPr fontId="92" type="noConversion"/>
  </si>
  <si>
    <t>济南傲伟机械设备有限公司</t>
    <phoneticPr fontId="92" type="noConversion"/>
  </si>
  <si>
    <t>济南鲁东耐火材料有限公司</t>
    <phoneticPr fontId="92" type="noConversion"/>
  </si>
  <si>
    <t>山东栋梁科技设备有限公司</t>
    <phoneticPr fontId="92" type="noConversion"/>
  </si>
  <si>
    <t>山东省永信非织造材料有限公司</t>
    <phoneticPr fontId="92" type="noConversion"/>
  </si>
  <si>
    <t>山东中天重工有限公司</t>
    <phoneticPr fontId="92" type="noConversion"/>
  </si>
  <si>
    <t>济南大宇宙信息创造有限公司</t>
    <phoneticPr fontId="92" type="noConversion"/>
  </si>
  <si>
    <t>起初审定数</t>
    <phoneticPr fontId="92" type="noConversion"/>
  </si>
  <si>
    <t>两次审定差异</t>
    <phoneticPr fontId="92" type="noConversion"/>
  </si>
  <si>
    <t>差异比例</t>
    <phoneticPr fontId="92" type="noConversion"/>
  </si>
  <si>
    <t>山东飞尔康体育设施有限公司</t>
    <phoneticPr fontId="92" type="noConversion"/>
  </si>
  <si>
    <t>起初比例</t>
    <phoneticPr fontId="92" type="noConversion"/>
  </si>
  <si>
    <t>起初按比例数据</t>
    <phoneticPr fontId="92" type="noConversion"/>
  </si>
  <si>
    <t>起初数据差异</t>
    <phoneticPr fontId="92" type="noConversion"/>
  </si>
  <si>
    <t>济南华辰实业有限责任公司</t>
    <phoneticPr fontId="92" type="noConversion"/>
  </si>
  <si>
    <t>诺贝尔（山东）科技实业有限公司</t>
    <phoneticPr fontId="92" type="noConversion"/>
  </si>
  <si>
    <t>山东力诺光伏高科技有限公司</t>
    <phoneticPr fontId="92" type="noConversion"/>
  </si>
  <si>
    <t>济南译软信息技术有限公司</t>
    <phoneticPr fontId="92" type="noConversion"/>
  </si>
  <si>
    <t>山东爱国锻造有限公司</t>
    <phoneticPr fontId="92" type="noConversion"/>
  </si>
  <si>
    <t>山东金池重工股份有限公司</t>
    <phoneticPr fontId="92" type="noConversion"/>
  </si>
  <si>
    <t>济南嘉亚经贸发展有限公司</t>
    <phoneticPr fontId="92" type="noConversion"/>
  </si>
  <si>
    <t>山东胜晔磨球有限公司</t>
    <phoneticPr fontId="92" type="noConversion"/>
  </si>
  <si>
    <t>山东百拓信息技术有限公司</t>
    <phoneticPr fontId="92" type="noConversion"/>
  </si>
  <si>
    <t>亿帆环球科技（济南）有限公司</t>
    <phoneticPr fontId="92" type="noConversion"/>
  </si>
  <si>
    <t>山东省冶金设计院股份有限公司</t>
    <phoneticPr fontId="92" type="noConversion"/>
  </si>
  <si>
    <t>浪潮世科（山东）信息技术有限公司</t>
    <phoneticPr fontId="92" type="noConversion"/>
  </si>
  <si>
    <t>济南河流道网络科技有限公司</t>
    <phoneticPr fontId="92" type="noConversion"/>
  </si>
  <si>
    <t>联暻半导体（山东）有限公司</t>
    <phoneticPr fontId="92" type="noConversion"/>
  </si>
  <si>
    <t>中国电建集团山东电力建设有限公司</t>
    <phoneticPr fontId="92" type="noConversion"/>
  </si>
  <si>
    <t>优创（济南）数据技术有限公司</t>
    <phoneticPr fontId="92" type="noConversion"/>
  </si>
  <si>
    <t>沃尔沃建筑设备技术（中国）有限公司</t>
    <phoneticPr fontId="92" type="noConversion"/>
  </si>
  <si>
    <t>中车山东机车车辆有限公司</t>
    <phoneticPr fontId="92" type="noConversion"/>
  </si>
  <si>
    <t>山东东方道迩数字数据技术有限公司</t>
    <phoneticPr fontId="92" type="noConversion"/>
  </si>
  <si>
    <t>富士软件科技（山东）有限公司</t>
    <phoneticPr fontId="92" type="noConversion"/>
  </si>
  <si>
    <t>NEC软件（济南）有限公司</t>
    <phoneticPr fontId="92" type="noConversion"/>
  </si>
  <si>
    <t>山东重诺锻造有限公司</t>
    <phoneticPr fontId="92" type="noConversion"/>
  </si>
  <si>
    <t>山东太古飞机工程有限公司</t>
    <phoneticPr fontId="92" type="noConversion"/>
  </si>
  <si>
    <t>人民网信息技术有限公司</t>
    <phoneticPr fontId="92" type="noConversion"/>
  </si>
  <si>
    <t>山东凯莱（国际）贸易有限公司</t>
    <phoneticPr fontId="92" type="noConversion"/>
  </si>
  <si>
    <t>山东瑞合软件开发有限公司</t>
    <phoneticPr fontId="92" type="noConversion"/>
  </si>
  <si>
    <t>威海双丰物探设备股份有限公司</t>
    <phoneticPr fontId="92" type="noConversion"/>
  </si>
  <si>
    <t>浪潮威海海外服务有限公司</t>
    <phoneticPr fontId="92" type="noConversion"/>
  </si>
  <si>
    <t>威海威力钰杰工具有限公司</t>
    <phoneticPr fontId="92" type="noConversion"/>
  </si>
  <si>
    <t>威海萨克迪汽车安全系统有限公司</t>
    <phoneticPr fontId="92" type="noConversion"/>
  </si>
  <si>
    <t>山东威达机械股份有限公司</t>
    <phoneticPr fontId="92" type="noConversion"/>
  </si>
  <si>
    <t>威海高登旅游用品公司</t>
    <phoneticPr fontId="92" type="noConversion"/>
  </si>
  <si>
    <t>威海英特曼家居有限公司</t>
    <phoneticPr fontId="92" type="noConversion"/>
  </si>
  <si>
    <t>山东银丰家用纺织品有限公司</t>
    <phoneticPr fontId="92" type="noConversion"/>
  </si>
  <si>
    <t>文登大世汽车配件有限公司</t>
    <phoneticPr fontId="92" type="noConversion"/>
  </si>
  <si>
    <t>日月光半导体（威海有限公司）</t>
    <phoneticPr fontId="92" type="noConversion"/>
  </si>
  <si>
    <t>威海市威力高档工具有限公司</t>
    <phoneticPr fontId="92" type="noConversion"/>
  </si>
  <si>
    <t>威海国际经济技术合作股份有限公司</t>
    <phoneticPr fontId="92" type="noConversion"/>
  </si>
  <si>
    <t>荣成康派斯新能源车辆股份有限公司</t>
    <phoneticPr fontId="92" type="noConversion"/>
  </si>
  <si>
    <t>淄博</t>
    <phoneticPr fontId="92" type="noConversion"/>
  </si>
  <si>
    <t>潍坊</t>
    <phoneticPr fontId="92" type="noConversion"/>
  </si>
  <si>
    <t>烟台</t>
    <phoneticPr fontId="92" type="noConversion"/>
  </si>
  <si>
    <t>聊城</t>
    <phoneticPr fontId="92" type="noConversion"/>
  </si>
  <si>
    <t>文登大成电子有限公司</t>
    <phoneticPr fontId="92" type="noConversion"/>
  </si>
  <si>
    <t>山东英科环保再生资源股份有限公司</t>
    <phoneticPr fontId="92" type="noConversion"/>
  </si>
  <si>
    <t>佳润纺织有限公司</t>
    <phoneticPr fontId="92" type="noConversion"/>
  </si>
  <si>
    <t>山东丽能电力技术股份有限公司</t>
    <phoneticPr fontId="92" type="noConversion"/>
  </si>
  <si>
    <t>淄博锦轩轻工制品有限公司</t>
    <phoneticPr fontId="92" type="noConversion"/>
  </si>
  <si>
    <t>山东中天科技工程有限公司</t>
    <phoneticPr fontId="92" type="noConversion"/>
  </si>
  <si>
    <t>山东齐芯微系统科技股份有限公司</t>
    <phoneticPr fontId="92" type="noConversion"/>
  </si>
  <si>
    <t>淄博市淄川振华玻璃制品有限公司</t>
    <phoneticPr fontId="92" type="noConversion"/>
  </si>
  <si>
    <t>鲁泰纺织股份有限公司</t>
    <phoneticPr fontId="92" type="noConversion"/>
  </si>
  <si>
    <t>鲁丰纺织股份有限公司</t>
    <phoneticPr fontId="92" type="noConversion"/>
  </si>
  <si>
    <t>山东卓创资讯股份有限公司</t>
    <phoneticPr fontId="92" type="noConversion"/>
  </si>
  <si>
    <t>山东龙图家居股份有限公司</t>
    <phoneticPr fontId="92" type="noConversion"/>
  </si>
  <si>
    <t>淄博丰之源贸易有限公司</t>
    <phoneticPr fontId="92" type="noConversion"/>
  </si>
  <si>
    <t>淄博宜臣轻工制品有限公司</t>
    <phoneticPr fontId="92" type="noConversion"/>
  </si>
  <si>
    <t>山东信通电子股份有限公司</t>
    <phoneticPr fontId="92" type="noConversion"/>
  </si>
  <si>
    <t>山东超越轻工制品有限公司</t>
    <phoneticPr fontId="92" type="noConversion"/>
  </si>
  <si>
    <t>山东鲁阳节能材料股份有限公司</t>
    <phoneticPr fontId="92" type="noConversion"/>
  </si>
  <si>
    <t>淄博鼎宏轻工制品有限公司</t>
    <phoneticPr fontId="92" type="noConversion"/>
  </si>
  <si>
    <t>淄博银仕来纺织有限公司</t>
    <phoneticPr fontId="92" type="noConversion"/>
  </si>
  <si>
    <t>淄博美林电子有限公司</t>
    <phoneticPr fontId="92" type="noConversion"/>
  </si>
  <si>
    <t>山东东洋泰工艺品有限公司</t>
    <phoneticPr fontId="92" type="noConversion"/>
  </si>
  <si>
    <t>山东博丽玻璃股份有限公司</t>
    <phoneticPr fontId="92" type="noConversion"/>
  </si>
  <si>
    <t>山东泰展机电科技股份有限公司</t>
    <phoneticPr fontId="92" type="noConversion"/>
  </si>
  <si>
    <t>山东兰雁纺织服装有限公司</t>
    <phoneticPr fontId="92" type="noConversion"/>
  </si>
  <si>
    <t>技术出口</t>
    <phoneticPr fontId="92" type="noConversion"/>
  </si>
  <si>
    <t>系统数据小于审定数</t>
    <phoneticPr fontId="92" type="noConversion"/>
  </si>
  <si>
    <t>山东元星电子有限公司</t>
    <phoneticPr fontId="92" type="noConversion"/>
  </si>
  <si>
    <t>戈尔特西斯科技（济南）有限公司</t>
  </si>
  <si>
    <t>材料故意重复提供，故全部核减</t>
    <phoneticPr fontId="92" type="noConversion"/>
  </si>
  <si>
    <t>合同均为设计费，企业说明是按20%产品价格签署设计合同</t>
    <phoneticPr fontId="92" type="noConversion"/>
  </si>
  <si>
    <t>山东鑫弘重工有限公司</t>
    <phoneticPr fontId="92" type="noConversion"/>
  </si>
  <si>
    <t>差异可以调到电建</t>
    <phoneticPr fontId="92" type="noConversion"/>
  </si>
  <si>
    <t>济南森峰科技有限公司</t>
    <phoneticPr fontId="92" type="noConversion"/>
  </si>
  <si>
    <t>文登市迈世腾有限公司</t>
    <phoneticPr fontId="92" type="noConversion"/>
  </si>
  <si>
    <t>TOTAL</t>
  </si>
  <si>
    <t>TOSHIBA TRADING INCORPORATED</t>
  </si>
  <si>
    <t>Texas Instruments</t>
  </si>
  <si>
    <t>Nexperia Germany GmbH</t>
  </si>
  <si>
    <t>MagnaChip Semiconductor Ltd.</t>
  </si>
  <si>
    <t>Renesas Electronics Corporation</t>
  </si>
  <si>
    <t>TOREX SEMICONDUCTOR LTD.</t>
  </si>
  <si>
    <t>Infineon Technologies Asia Pacific</t>
  </si>
  <si>
    <t>Fuji Electric</t>
  </si>
  <si>
    <t>Infineon Technologies (Malaysia)</t>
  </si>
  <si>
    <t>ON Semiconductor Trading Sarl</t>
  </si>
  <si>
    <t>Rohm Co.Ltd</t>
  </si>
  <si>
    <t>JSAB TECHNOLOGIES LIMITED</t>
  </si>
  <si>
    <t>CREE Inc.</t>
  </si>
  <si>
    <t>Pakal Technologies Inc.</t>
  </si>
  <si>
    <t>TRinno Technology Co., Ltd.</t>
  </si>
  <si>
    <t>Littelfuse Far East PTE Ltd</t>
  </si>
  <si>
    <t>STMicroelectronics Pte Ltd</t>
  </si>
  <si>
    <t>LINEAR ASICS INC.</t>
  </si>
  <si>
    <t>Vishay Siliconix, LLC. C/O:</t>
  </si>
  <si>
    <t>NIKO Semiconductor Co., Ltd</t>
  </si>
  <si>
    <t>LITE-ON Semiconductor Corp.</t>
  </si>
  <si>
    <t>Littelfuse Concord Semicon ductor</t>
  </si>
  <si>
    <t>Semihow Co.,Ltd.</t>
  </si>
  <si>
    <t>Robert Bosch GmbH</t>
  </si>
  <si>
    <t>NEXGEN POWER SYSTEMS, INC.</t>
  </si>
  <si>
    <t>Sanken Electoinic Co., Ltd.</t>
  </si>
  <si>
    <t>Infineon Technologies Asia Pacific</t>
    <phoneticPr fontId="92" type="noConversion"/>
  </si>
  <si>
    <t>Advanced Power Electronics Corp.</t>
  </si>
  <si>
    <t>NXP Semiconductors Taiwan Ltd.</t>
  </si>
  <si>
    <t>Excellent Semicon Technology Co.</t>
  </si>
  <si>
    <t>D3 Semiconductor LLC</t>
  </si>
  <si>
    <t>iLumina Tech, Inc.</t>
  </si>
  <si>
    <t>Potens Semiconductor Corp.</t>
  </si>
  <si>
    <t>收汇金额中服务外包金额(美元）</t>
  </si>
  <si>
    <t>月累计金额(美元）</t>
  </si>
  <si>
    <t>期间</t>
  </si>
  <si>
    <t>金额（美元）</t>
  </si>
  <si>
    <t>客户</t>
  </si>
  <si>
    <t>收汇日期</t>
  </si>
  <si>
    <t>#</t>
  </si>
  <si>
    <t>日月光半导体(威海)有限公司收汇明细表（2019年7月-12月）</t>
    <phoneticPr fontId="92" type="noConversion"/>
  </si>
  <si>
    <t>烟台明远家用纺织品有限公司</t>
    <phoneticPr fontId="92" type="noConversion"/>
  </si>
  <si>
    <t>烟台中集来福士海洋工程有限公司</t>
    <phoneticPr fontId="92" type="noConversion"/>
  </si>
  <si>
    <t>烟台创迹软件有限公司</t>
    <phoneticPr fontId="92" type="noConversion"/>
  </si>
  <si>
    <t>现代汽车研发中心</t>
    <phoneticPr fontId="92" type="noConversion"/>
  </si>
  <si>
    <t>东方电子</t>
  </si>
  <si>
    <t>天津鼎韬</t>
  </si>
  <si>
    <t>北京国创</t>
  </si>
  <si>
    <t>北京强企</t>
  </si>
  <si>
    <t>中能国研</t>
  </si>
  <si>
    <r>
      <t>s</t>
    </r>
    <r>
      <rPr>
        <sz val="11"/>
        <color theme="1"/>
        <rFont val="宋体"/>
        <family val="3"/>
        <charset val="134"/>
        <scheme val="minor"/>
      </rPr>
      <t>oci</t>
    </r>
    <phoneticPr fontId="92" type="noConversion"/>
  </si>
  <si>
    <t>银行回单不能显示客户信息</t>
    <phoneticPr fontId="92" type="noConversion"/>
  </si>
  <si>
    <r>
      <t>G</t>
    </r>
    <r>
      <rPr>
        <sz val="11"/>
        <color theme="1"/>
        <rFont val="宋体"/>
        <family val="3"/>
        <charset val="134"/>
        <scheme val="minor"/>
      </rPr>
      <t>eit</t>
    </r>
    <phoneticPr fontId="92" type="noConversion"/>
  </si>
  <si>
    <r>
      <t>s</t>
    </r>
    <r>
      <rPr>
        <sz val="11"/>
        <color theme="1"/>
        <rFont val="宋体"/>
        <family val="3"/>
        <charset val="134"/>
        <scheme val="minor"/>
      </rPr>
      <t>wak</t>
    </r>
    <phoneticPr fontId="92" type="noConversion"/>
  </si>
  <si>
    <t>sem</t>
    <phoneticPr fontId="92" type="noConversion"/>
  </si>
  <si>
    <r>
      <t>p</t>
    </r>
    <r>
      <rPr>
        <sz val="11"/>
        <color theme="1"/>
        <rFont val="宋体"/>
        <family val="3"/>
        <charset val="134"/>
        <scheme val="minor"/>
      </rPr>
      <t>t</t>
    </r>
    <phoneticPr fontId="92" type="noConversion"/>
  </si>
  <si>
    <r>
      <t>b</t>
    </r>
    <r>
      <rPr>
        <sz val="11"/>
        <color theme="1"/>
        <rFont val="宋体"/>
        <family val="3"/>
        <charset val="134"/>
        <scheme val="minor"/>
      </rPr>
      <t>is</t>
    </r>
    <phoneticPr fontId="92" type="noConversion"/>
  </si>
  <si>
    <t>ser</t>
    <phoneticPr fontId="92" type="noConversion"/>
  </si>
  <si>
    <t>sta</t>
    <phoneticPr fontId="92" type="noConversion"/>
  </si>
  <si>
    <t>烟台检验认证有限公司</t>
  </si>
  <si>
    <t>济南译软信息技术有限公司</t>
  </si>
  <si>
    <t>山东飞尔康体育设施有限公司</t>
  </si>
  <si>
    <t>潍坊科苑数字科技有限责任公司</t>
  </si>
  <si>
    <t>山东环球软件股份有限公司</t>
  </si>
  <si>
    <t>济南华辰实业有限责任公司</t>
  </si>
  <si>
    <t>山东豪迈机械科技股份有限公司</t>
  </si>
  <si>
    <t>济南世芯电子科技有限公司</t>
  </si>
  <si>
    <t>山东爱国锻造有限公司</t>
  </si>
  <si>
    <t>威海双丰物探设备股份有限公司</t>
  </si>
  <si>
    <t>浪潮威海海外服务有限公司</t>
  </si>
  <si>
    <t>济南大宇宙信息创造有限公司</t>
  </si>
  <si>
    <t>济南嘉亚经贸发展有限公司</t>
  </si>
  <si>
    <t>华纺股份有限公司</t>
  </si>
  <si>
    <t>威海威力钰杰工具有限公司</t>
  </si>
  <si>
    <t>技术进口</t>
  </si>
  <si>
    <t>山东胜晔磨球有限公司</t>
  </si>
  <si>
    <t>诺贝尔（山东）科技实业有限公司</t>
  </si>
  <si>
    <t>山东百拓信息技术有限公司</t>
  </si>
  <si>
    <t>济南森峰科技有限公司</t>
  </si>
  <si>
    <t>山东省冶金设计院股份有限公司</t>
  </si>
  <si>
    <t>浪潮世科（山东）信息技术有限公司</t>
  </si>
  <si>
    <t>山东龙图家居股份有限公司</t>
  </si>
  <si>
    <t>威海高登旅游用品公司</t>
  </si>
  <si>
    <t>联暻半导体（山东）有限公司</t>
  </si>
  <si>
    <t>烟台明远家用纺织品有限公司</t>
  </si>
  <si>
    <t>中国电建集团山东电力建设有限公司</t>
  </si>
  <si>
    <t>优创（济南）数据技术有限公司</t>
  </si>
  <si>
    <t>沃尔沃建筑设备技术（中国）有限公司</t>
  </si>
  <si>
    <t>山东鑫弘重工有限公司</t>
  </si>
  <si>
    <t>威海英特曼家居有限公司</t>
  </si>
  <si>
    <t>山东东方道迩数字数据技术有限公司</t>
  </si>
  <si>
    <t>富士软件科技（山东）有限公司</t>
  </si>
  <si>
    <t>山东信通电子股份有限公司</t>
  </si>
  <si>
    <t>山东银丰家用纺织品有限公司</t>
  </si>
  <si>
    <t>山东超越轻工制品有限公司</t>
  </si>
  <si>
    <t>NEC软件（济南）有限公司</t>
  </si>
  <si>
    <t>文登大世汽车配件有限公司</t>
  </si>
  <si>
    <t>山东重诺锻造有限公司</t>
  </si>
  <si>
    <t>山东鲁阳节能材料股份有限公司</t>
  </si>
  <si>
    <t>淄博鼎宏轻工制品有限公司</t>
  </si>
  <si>
    <t>山东力诺特种玻璃股份有限公司</t>
  </si>
  <si>
    <t>人民网信息技术有限公司</t>
  </si>
  <si>
    <t>山东东洋泰工艺品有限公司</t>
  </si>
  <si>
    <t>日月光半导体（威海有限公司）</t>
  </si>
  <si>
    <t>山东科源制药股份有限公司</t>
  </si>
  <si>
    <t>山东博丽玻璃股份有限公司</t>
  </si>
  <si>
    <t>山东凯莱（国际）贸易有限公司</t>
  </si>
  <si>
    <t>山东瑞合软件开发有限公司</t>
  </si>
  <si>
    <t>威海市威力高档工具有限公司</t>
  </si>
  <si>
    <t>济南傲伟机械设备有限公司</t>
  </si>
  <si>
    <t>山东兰雁纺织服装有限公司</t>
  </si>
  <si>
    <t>济南鲁东耐火材料有限公司</t>
  </si>
  <si>
    <t>山东栋梁科技设备有限公司</t>
  </si>
  <si>
    <t>山东省永信非织造材料有限公司</t>
  </si>
  <si>
    <t>山东中天重工有限公司</t>
  </si>
  <si>
    <t>文登大成电子有限公司</t>
  </si>
  <si>
    <t>山东英科环保再生资源股份有限公司</t>
  </si>
  <si>
    <t>山东华民钢球股份有限公司</t>
  </si>
  <si>
    <t>山东天海新材料工程有限公司</t>
  </si>
  <si>
    <t>佳润纺织有限公司</t>
  </si>
  <si>
    <t>烟台创迹软件有限公司</t>
  </si>
  <si>
    <t>审定数</t>
  </si>
  <si>
    <t>核减额</t>
  </si>
  <si>
    <t>申请额</t>
  </si>
  <si>
    <t>补贴项目</t>
  </si>
  <si>
    <t>滨州</t>
  </si>
  <si>
    <t>泰安</t>
    <phoneticPr fontId="92" type="noConversion"/>
  </si>
  <si>
    <t>合计数</t>
    <phoneticPr fontId="92" type="noConversion"/>
  </si>
  <si>
    <t>合计</t>
    <phoneticPr fontId="92" type="noConversion"/>
  </si>
  <si>
    <t>支持企业品牌建设</t>
    <phoneticPr fontId="92" type="noConversion"/>
  </si>
  <si>
    <t>威海</t>
    <phoneticPr fontId="92" type="noConversion"/>
  </si>
  <si>
    <t>淄博</t>
    <phoneticPr fontId="92" type="noConversion"/>
  </si>
  <si>
    <t>烟台</t>
    <phoneticPr fontId="92" type="noConversion"/>
  </si>
  <si>
    <t>潍坊</t>
    <phoneticPr fontId="92" type="noConversion"/>
  </si>
  <si>
    <t>审定数</t>
    <phoneticPr fontId="92" type="noConversion"/>
  </si>
  <si>
    <t>申请金额</t>
    <phoneticPr fontId="92" type="noConversion"/>
  </si>
  <si>
    <t>（人民币万元）</t>
  </si>
  <si>
    <t>序号</t>
    <phoneticPr fontId="92" type="noConversion"/>
  </si>
  <si>
    <t>企业名称</t>
    <phoneticPr fontId="92" type="noConversion"/>
  </si>
  <si>
    <t>滨州</t>
    <phoneticPr fontId="92" type="noConversion"/>
  </si>
  <si>
    <t>鼓励服务外包企业加快发展国际服务外包业务</t>
    <phoneticPr fontId="92" type="noConversion"/>
  </si>
  <si>
    <t>2020年中央外经贸发展专项资金（促进服务贸易创新发展事项）企业公示表</t>
    <phoneticPr fontId="92" type="noConversion"/>
  </si>
  <si>
    <t>附件</t>
    <phoneticPr fontId="92"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</si>
</sst>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4">
    <numFmt numFmtId="41" formatCode="_ * #,##0_ ;_ * \-#,##0_ ;_ * &quot;-&quot;_ ;_ @_ "/>
    <numFmt numFmtId="43" formatCode="_ * #,##0.00_ ;_ * \-#,##0.00_ ;_ * &quot;-&quot;??_ ;_ @_ "/>
    <numFmt numFmtId="176" formatCode="&quot;￥&quot;#,##0.00;&quot;￥&quot;\-#,##0.00"/>
    <numFmt numFmtId="177" formatCode="0.000000"/>
    <numFmt numFmtId="178" formatCode="#,##0.00_ "/>
    <numFmt numFmtId="179" formatCode="0.000_ "/>
    <numFmt numFmtId="180" formatCode="\$#,##0.00;\-\$#,##0.00"/>
    <numFmt numFmtId="181" formatCode="0.0000_ "/>
    <numFmt numFmtId="182" formatCode="yyyy&quot;年&quot;m&quot;月&quot;;@"/>
    <numFmt numFmtId="183" formatCode="[$USD]\ #,##0.00;[$USD]\ \-#,##0.00"/>
    <numFmt numFmtId="184" formatCode="#,##0;[Red]&quot;\&quot;&quot;\&quot;&quot;\&quot;&quot;\&quot;&quot;\&quot;&quot;\&quot;&quot;\&quot;&quot;\&quot;\-#,##0"/>
    <numFmt numFmtId="185" formatCode="0_);[Red]\(0\)"/>
    <numFmt numFmtId="186" formatCode="0.00_ "/>
    <numFmt numFmtId="187" formatCode="#,##0.0000;[Red]&quot;\&quot;&quot;\&quot;&quot;\&quot;&quot;\&quot;&quot;\&quot;&quot;\&quot;&quot;\&quot;&quot;\&quot;\-#,##0.0000"/>
    <numFmt numFmtId="188" formatCode="#,##0.0000_ "/>
    <numFmt numFmtId="189" formatCode="yyyy\-m\-d"/>
    <numFmt numFmtId="190" formatCode="#,##0.00_);[Red]\(#,##0.00\)"/>
    <numFmt numFmtId="191" formatCode="0.0"/>
    <numFmt numFmtId="192" formatCode="0.0000"/>
    <numFmt numFmtId="193" formatCode="#,##0_ "/>
    <numFmt numFmtId="194" formatCode="#,##0.0000_);[Red]\(#,##0.0000\)"/>
    <numFmt numFmtId="195" formatCode="#,##0_);[Red]\(#,##0\)"/>
    <numFmt numFmtId="196" formatCode="0.00_);[Red]\(0.00\)"/>
    <numFmt numFmtId="197" formatCode="_-\$* #,##0.00_ ;_-\$* \-#,##0.00\ ;_-\$* &quot;-&quot;??_ ;_-@_ "/>
  </numFmts>
  <fonts count="109">
    <font>
      <sz val="11"/>
      <color theme="1"/>
      <name val="宋体"/>
      <charset val="134"/>
      <scheme val="minor"/>
    </font>
    <font>
      <sz val="11"/>
      <color theme="1"/>
      <name val="宋体"/>
      <family val="2"/>
      <charset val="134"/>
      <scheme val="minor"/>
    </font>
    <font>
      <sz val="11"/>
      <color theme="1"/>
      <name val="宋体"/>
      <family val="2"/>
      <charset val="134"/>
      <scheme val="minor"/>
    </font>
    <font>
      <b/>
      <sz val="14"/>
      <color theme="1"/>
      <name val="微软雅黑"/>
      <family val="2"/>
      <charset val="134"/>
    </font>
    <font>
      <sz val="11"/>
      <color theme="1"/>
      <name val="宋体"/>
      <family val="3"/>
      <charset val="134"/>
      <scheme val="minor"/>
    </font>
    <font>
      <b/>
      <sz val="11"/>
      <name val="微软雅黑"/>
      <family val="2"/>
      <charset val="134"/>
    </font>
    <font>
      <sz val="9"/>
      <color theme="1"/>
      <name val="微软雅黑"/>
      <family val="2"/>
      <charset val="134"/>
    </font>
    <font>
      <sz val="10"/>
      <color theme="1"/>
      <name val="微软雅黑"/>
      <family val="2"/>
      <charset val="134"/>
    </font>
    <font>
      <sz val="11"/>
      <name val="宋体"/>
      <family val="3"/>
      <charset val="134"/>
      <scheme val="minor"/>
    </font>
    <font>
      <sz val="11"/>
      <color theme="1"/>
      <name val="Arial"/>
      <family val="2"/>
    </font>
    <font>
      <sz val="10"/>
      <color theme="1"/>
      <name val="宋体"/>
      <family val="3"/>
      <charset val="134"/>
    </font>
    <font>
      <sz val="10"/>
      <color theme="1"/>
      <name val="宋体"/>
      <family val="3"/>
      <charset val="134"/>
    </font>
    <font>
      <sz val="10"/>
      <color theme="1"/>
      <name val="Arial"/>
      <family val="2"/>
    </font>
    <font>
      <sz val="10"/>
      <name val="宋体"/>
      <family val="3"/>
      <charset val="134"/>
    </font>
    <font>
      <sz val="10"/>
      <name val="Arial"/>
      <family val="2"/>
    </font>
    <font>
      <sz val="10"/>
      <name val="宋体"/>
      <family val="3"/>
      <charset val="134"/>
      <scheme val="minor"/>
    </font>
    <font>
      <b/>
      <sz val="10"/>
      <name val="宋体"/>
      <family val="3"/>
      <charset val="134"/>
      <scheme val="minor"/>
    </font>
    <font>
      <b/>
      <sz val="12"/>
      <color theme="1"/>
      <name val="宋体"/>
      <family val="3"/>
      <charset val="134"/>
      <scheme val="minor"/>
    </font>
    <font>
      <b/>
      <sz val="11"/>
      <color theme="1"/>
      <name val="宋体"/>
      <family val="3"/>
      <charset val="134"/>
      <scheme val="minor"/>
    </font>
    <font>
      <b/>
      <sz val="11"/>
      <color theme="1"/>
      <name val="宋体"/>
      <family val="3"/>
      <charset val="134"/>
      <scheme val="minor"/>
    </font>
    <font>
      <b/>
      <sz val="20"/>
      <name val="黑体"/>
      <family val="3"/>
      <charset val="134"/>
    </font>
    <font>
      <b/>
      <sz val="16"/>
      <name val="仿宋"/>
      <family val="3"/>
      <charset val="134"/>
    </font>
    <font>
      <b/>
      <sz val="16"/>
      <name val="宋体"/>
      <family val="3"/>
      <charset val="134"/>
    </font>
    <font>
      <b/>
      <sz val="16"/>
      <name val="Arial"/>
      <family val="2"/>
    </font>
    <font>
      <sz val="12"/>
      <name val="宋体"/>
      <family val="3"/>
      <charset val="134"/>
    </font>
    <font>
      <b/>
      <sz val="14"/>
      <name val="仿宋"/>
      <family val="3"/>
      <charset val="134"/>
    </font>
    <font>
      <b/>
      <sz val="16"/>
      <color rgb="FF000000"/>
      <name val="宋体"/>
      <family val="3"/>
      <charset val="134"/>
      <scheme val="minor"/>
    </font>
    <font>
      <b/>
      <sz val="14"/>
      <color theme="1"/>
      <name val="宋体"/>
      <family val="3"/>
      <charset val="134"/>
      <scheme val="minor"/>
    </font>
    <font>
      <sz val="14"/>
      <color theme="1"/>
      <name val="宋体"/>
      <family val="3"/>
      <charset val="134"/>
      <scheme val="minor"/>
    </font>
    <font>
      <b/>
      <sz val="16"/>
      <name val="宋体"/>
      <family val="3"/>
      <charset val="134"/>
      <scheme val="minor"/>
    </font>
    <font>
      <b/>
      <sz val="16"/>
      <color theme="1"/>
      <name val="宋体"/>
      <family val="3"/>
      <charset val="134"/>
      <scheme val="minor"/>
    </font>
    <font>
      <sz val="16"/>
      <color theme="1"/>
      <name val="宋体"/>
      <family val="3"/>
      <charset val="134"/>
      <scheme val="minor"/>
    </font>
    <font>
      <sz val="14"/>
      <color theme="1"/>
      <name val="宋体"/>
      <family val="3"/>
      <charset val="134"/>
      <scheme val="minor"/>
    </font>
    <font>
      <sz val="12"/>
      <color theme="1"/>
      <name val="宋体"/>
      <family val="3"/>
      <charset val="134"/>
      <scheme val="minor"/>
    </font>
    <font>
      <sz val="10"/>
      <name val="宋体"/>
      <family val="3"/>
      <charset val="134"/>
    </font>
    <font>
      <sz val="10"/>
      <name val="MS Sans Serif"/>
    </font>
    <font>
      <sz val="11"/>
      <color theme="1"/>
      <name val="宋体"/>
      <family val="3"/>
      <charset val="134"/>
      <scheme val="minor"/>
    </font>
    <font>
      <sz val="12"/>
      <color rgb="FF000000"/>
      <name val="宋体"/>
      <family val="3"/>
      <charset val="134"/>
      <scheme val="minor"/>
    </font>
    <font>
      <sz val="12"/>
      <color theme="1"/>
      <name val="宋体"/>
      <family val="3"/>
      <charset val="134"/>
      <scheme val="minor"/>
    </font>
    <font>
      <b/>
      <sz val="14"/>
      <color rgb="FF000000"/>
      <name val="仿宋_GB2312"/>
      <charset val="134"/>
    </font>
    <font>
      <sz val="12"/>
      <color rgb="FF000000"/>
      <name val="宋体"/>
      <family val="3"/>
      <charset val="134"/>
    </font>
    <font>
      <sz val="14"/>
      <color rgb="FF000000"/>
      <name val="仿宋_GB2312"/>
      <charset val="134"/>
    </font>
    <font>
      <sz val="11"/>
      <color rgb="FF000000"/>
      <name val="等线"/>
      <family val="3"/>
      <charset val="134"/>
    </font>
    <font>
      <b/>
      <sz val="12"/>
      <color rgb="FF000000"/>
      <name val="宋体"/>
      <family val="3"/>
      <charset val="134"/>
    </font>
    <font>
      <sz val="9"/>
      <color rgb="FF000000"/>
      <name val="宋体"/>
      <family val="3"/>
      <charset val="134"/>
    </font>
    <font>
      <b/>
      <sz val="11"/>
      <color rgb="FF000000"/>
      <name val="宋体"/>
      <family val="3"/>
      <charset val="134"/>
    </font>
    <font>
      <sz val="11"/>
      <color indexed="8"/>
      <name val="宋体"/>
      <family val="3"/>
      <charset val="134"/>
    </font>
    <font>
      <sz val="12"/>
      <color theme="1"/>
      <name val="宋体"/>
      <family val="3"/>
      <charset val="134"/>
      <scheme val="major"/>
    </font>
    <font>
      <b/>
      <sz val="12"/>
      <color rgb="FF000000"/>
      <name val="宋体"/>
      <family val="3"/>
      <charset val="134"/>
      <scheme val="major"/>
    </font>
    <font>
      <b/>
      <sz val="12"/>
      <color theme="1"/>
      <name val="宋体"/>
      <family val="3"/>
      <charset val="134"/>
      <scheme val="major"/>
    </font>
    <font>
      <sz val="12"/>
      <name val="宋体"/>
      <family val="3"/>
      <charset val="134"/>
      <scheme val="major"/>
    </font>
    <font>
      <sz val="11"/>
      <color theme="1"/>
      <name val="宋体"/>
      <family val="3"/>
      <charset val="134"/>
      <scheme val="major"/>
    </font>
    <font>
      <sz val="11"/>
      <name val="宋体"/>
      <family val="3"/>
      <charset val="134"/>
      <scheme val="major"/>
    </font>
    <font>
      <b/>
      <sz val="11"/>
      <color theme="1"/>
      <name val="宋体"/>
      <family val="3"/>
      <charset val="134"/>
      <scheme val="major"/>
    </font>
    <font>
      <sz val="12"/>
      <name val="宋体"/>
      <family val="3"/>
      <charset val="134"/>
      <scheme val="minor"/>
    </font>
    <font>
      <sz val="12"/>
      <name val="Arial"/>
      <family val="2"/>
    </font>
    <font>
      <sz val="11"/>
      <color theme="1"/>
      <name val="Arial"/>
      <family val="2"/>
    </font>
    <font>
      <sz val="14"/>
      <name val="宋体"/>
      <family val="3"/>
      <charset val="134"/>
      <scheme val="major"/>
    </font>
    <font>
      <sz val="14"/>
      <color theme="1"/>
      <name val="宋体"/>
      <family val="3"/>
      <charset val="134"/>
      <scheme val="major"/>
    </font>
    <font>
      <sz val="12"/>
      <color theme="1"/>
      <name val="宋体"/>
      <family val="3"/>
      <charset val="134"/>
    </font>
    <font>
      <b/>
      <sz val="12"/>
      <name val="宋体"/>
      <family val="3"/>
      <charset val="134"/>
    </font>
    <font>
      <sz val="13"/>
      <name val="宋体"/>
      <family val="3"/>
      <charset val="134"/>
    </font>
    <font>
      <sz val="13"/>
      <name val="MingLiU"/>
      <charset val="134"/>
    </font>
    <font>
      <sz val="12"/>
      <name val="MingLiU"/>
      <charset val="134"/>
    </font>
    <font>
      <sz val="10"/>
      <name val="Arial"/>
      <family val="2"/>
    </font>
    <font>
      <sz val="11"/>
      <name val="ＭＳ Ｐゴシック"/>
      <family val="2"/>
    </font>
    <font>
      <b/>
      <sz val="11"/>
      <color indexed="10"/>
      <name val="ＭＳ Ｐゴシック"/>
      <family val="2"/>
    </font>
    <font>
      <b/>
      <sz val="9"/>
      <color indexed="10"/>
      <name val="ＭＳ Ｐゴシック"/>
      <family val="2"/>
    </font>
    <font>
      <sz val="9"/>
      <name val="ＭＳ Ｐゴシック"/>
      <family val="2"/>
    </font>
    <font>
      <b/>
      <sz val="10"/>
      <name val="ＭＳ Ｐゴシック"/>
      <family val="2"/>
    </font>
    <font>
      <sz val="10"/>
      <name val="ＭＳ Ｐゴシック"/>
      <family val="2"/>
    </font>
    <font>
      <sz val="10"/>
      <color theme="0"/>
      <name val="SimSun"/>
      <charset val="134"/>
    </font>
    <font>
      <sz val="10"/>
      <color theme="0"/>
      <name val="ＭＳ Ｐゴシック"/>
      <family val="2"/>
    </font>
    <font>
      <sz val="9"/>
      <color theme="0"/>
      <name val="ＭＳ Ｐゴシック"/>
      <family val="2"/>
    </font>
    <font>
      <sz val="9"/>
      <color indexed="8"/>
      <name val="ＭＳ Ｐゴシック"/>
      <family val="2"/>
    </font>
    <font>
      <sz val="9"/>
      <name val="SimSun"/>
      <charset val="134"/>
    </font>
    <font>
      <sz val="10"/>
      <color theme="0"/>
      <name val="宋体"/>
      <family val="3"/>
      <charset val="134"/>
    </font>
    <font>
      <sz val="9"/>
      <color theme="1"/>
      <name val="ＭＳ Ｐゴシック"/>
      <family val="2"/>
    </font>
    <font>
      <sz val="22"/>
      <color theme="1"/>
      <name val="宋体"/>
      <family val="3"/>
      <charset val="134"/>
      <scheme val="minor"/>
    </font>
    <font>
      <sz val="12"/>
      <color theme="1"/>
      <name val="黑体"/>
      <family val="3"/>
      <charset val="134"/>
    </font>
    <font>
      <sz val="20"/>
      <color theme="1"/>
      <name val="黑体"/>
      <family val="3"/>
      <charset val="134"/>
    </font>
    <font>
      <sz val="20"/>
      <color theme="1"/>
      <name val="宋体"/>
      <family val="3"/>
      <charset val="134"/>
      <scheme val="minor"/>
    </font>
    <font>
      <sz val="11"/>
      <color rgb="FFFF0000"/>
      <name val="宋体"/>
      <family val="3"/>
      <charset val="134"/>
      <scheme val="minor"/>
    </font>
    <font>
      <u/>
      <sz val="11"/>
      <color rgb="FF0000FF"/>
      <name val="宋体"/>
      <family val="3"/>
      <charset val="134"/>
      <scheme val="minor"/>
    </font>
    <font>
      <sz val="12"/>
      <name val="宋体"/>
      <family val="3"/>
      <charset val="134"/>
    </font>
    <font>
      <b/>
      <i/>
      <u/>
      <sz val="10"/>
      <color theme="1"/>
      <name val="微软雅黑"/>
      <family val="2"/>
      <charset val="134"/>
    </font>
    <font>
      <sz val="11"/>
      <color theme="1"/>
      <name val="宋体"/>
      <family val="3"/>
      <charset val="134"/>
    </font>
    <font>
      <sz val="14"/>
      <name val="Times New Roman"/>
      <family val="1"/>
    </font>
    <font>
      <sz val="11"/>
      <name val="宋体"/>
      <family val="3"/>
      <charset val="134"/>
    </font>
    <font>
      <sz val="12"/>
      <color rgb="FFFF0000"/>
      <name val="宋体"/>
      <family val="3"/>
      <charset val="134"/>
    </font>
    <font>
      <sz val="9"/>
      <name val="宋体"/>
      <family val="3"/>
      <charset val="134"/>
    </font>
    <font>
      <b/>
      <sz val="9"/>
      <name val="宋体"/>
      <family val="3"/>
      <charset val="134"/>
    </font>
    <font>
      <sz val="9"/>
      <name val="宋体"/>
      <family val="3"/>
      <charset val="134"/>
      <scheme val="minor"/>
    </font>
    <font>
      <sz val="12"/>
      <color theme="1"/>
      <name val="宋体"/>
      <family val="3"/>
      <charset val="134"/>
      <scheme val="minor"/>
    </font>
    <font>
      <sz val="14"/>
      <color theme="1"/>
      <name val="宋体"/>
      <family val="3"/>
      <charset val="134"/>
      <scheme val="minor"/>
    </font>
    <font>
      <sz val="11"/>
      <color theme="1"/>
      <name val="宋体"/>
      <family val="3"/>
      <charset val="134"/>
      <scheme val="minor"/>
    </font>
    <font>
      <sz val="12"/>
      <color rgb="FFFF0000"/>
      <name val="宋体"/>
      <family val="3"/>
      <charset val="134"/>
      <scheme val="minor"/>
    </font>
    <font>
      <sz val="14"/>
      <color theme="1"/>
      <name val="宋体"/>
      <family val="3"/>
      <charset val="134"/>
    </font>
    <font>
      <sz val="14"/>
      <name val="宋体"/>
      <family val="3"/>
      <charset val="134"/>
    </font>
    <font>
      <sz val="14"/>
      <color rgb="FFFF0000"/>
      <name val="宋体"/>
      <family val="3"/>
      <charset val="134"/>
    </font>
    <font>
      <b/>
      <sz val="14"/>
      <color theme="1"/>
      <name val="宋体"/>
      <family val="3"/>
      <charset val="134"/>
    </font>
    <font>
      <b/>
      <sz val="14"/>
      <name val="宋体"/>
      <family val="3"/>
      <charset val="134"/>
    </font>
    <font>
      <sz val="14"/>
      <color rgb="FF7030A0"/>
      <name val="宋体"/>
      <family val="3"/>
      <charset val="134"/>
    </font>
    <font>
      <sz val="11"/>
      <color theme="1"/>
      <name val="Arial Unicode MS"/>
      <family val="2"/>
      <charset val="134"/>
    </font>
    <font>
      <sz val="10"/>
      <color theme="1"/>
      <name val="Arial Unicode MS"/>
      <family val="2"/>
      <charset val="134"/>
    </font>
    <font>
      <b/>
      <sz val="12"/>
      <color theme="1"/>
      <name val="Arial Unicode MS"/>
      <family val="2"/>
      <charset val="134"/>
    </font>
    <font>
      <sz val="16"/>
      <color theme="1"/>
      <name val="方正小标宋简体"/>
      <family val="3"/>
      <charset val="134"/>
    </font>
    <font>
      <sz val="11"/>
      <color theme="1"/>
      <name val="方正小标宋简体"/>
      <family val="3"/>
      <charset val="134"/>
    </font>
    <font>
      <sz val="11"/>
      <color theme="1"/>
      <name val="黑体"/>
      <family val="3"/>
      <charset val="134"/>
    </font>
  </fonts>
  <fills count="33">
    <fill>
      <patternFill patternType="none"/>
    </fill>
    <fill>
      <patternFill patternType="gray125"/>
    </fill>
    <fill>
      <patternFill patternType="solid">
        <fgColor indexed="9"/>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4" tint="0.59999389629810485"/>
        <bgColor indexed="64"/>
      </patternFill>
    </fill>
    <fill>
      <patternFill patternType="solid">
        <fgColor theme="0" tint="-4.9989318521683403E-2"/>
        <bgColor indexed="64"/>
      </patternFill>
    </fill>
    <fill>
      <patternFill patternType="solid">
        <fgColor theme="3" tint="0.59999389629810485"/>
        <bgColor indexed="64"/>
      </patternFill>
    </fill>
    <fill>
      <patternFill patternType="solid">
        <fgColor theme="6" tint="0.79995117038483843"/>
        <bgColor indexed="64"/>
      </patternFill>
    </fill>
    <fill>
      <patternFill patternType="solid">
        <fgColor theme="9" tint="0.59999389629810485"/>
        <bgColor indexed="64"/>
      </patternFill>
    </fill>
    <fill>
      <patternFill patternType="solid">
        <fgColor theme="9" tint="0.39994506668294322"/>
        <bgColor indexed="64"/>
      </patternFill>
    </fill>
    <fill>
      <patternFill patternType="solid">
        <fgColor theme="4" tint="-0.499984740745262"/>
        <bgColor indexed="64"/>
      </patternFill>
    </fill>
    <fill>
      <patternFill patternType="solid">
        <fgColor rgb="FF00B0F0"/>
        <bgColor indexed="64"/>
      </patternFill>
    </fill>
    <fill>
      <patternFill patternType="solid">
        <fgColor theme="4" tint="0.39994506668294322"/>
        <bgColor indexed="64"/>
      </patternFill>
    </fill>
    <fill>
      <patternFill patternType="solid">
        <fgColor theme="7" tint="0.39994506668294322"/>
        <bgColor indexed="64"/>
      </patternFill>
    </fill>
    <fill>
      <patternFill patternType="solid">
        <fgColor theme="8" tint="0.39994506668294322"/>
        <bgColor indexed="64"/>
      </patternFill>
    </fill>
    <fill>
      <patternFill patternType="solid">
        <fgColor theme="5" tint="0.39994506668294322"/>
        <bgColor indexed="64"/>
      </patternFill>
    </fill>
    <fill>
      <patternFill patternType="solid">
        <fgColor theme="4" tint="0.39997558519241921"/>
        <bgColor indexed="64"/>
      </patternFill>
    </fill>
    <fill>
      <patternFill patternType="solid">
        <fgColor theme="4" tint="0.59999389629810485"/>
        <bgColor indexed="64"/>
      </patternFill>
    </fill>
    <fill>
      <patternFill patternType="solid">
        <fgColor rgb="FF0070C0"/>
        <bgColor indexed="64"/>
      </patternFill>
    </fill>
    <fill>
      <patternFill patternType="solid">
        <fgColor rgb="FF00B050"/>
        <bgColor indexed="64"/>
      </patternFill>
    </fill>
    <fill>
      <patternFill patternType="solid">
        <fgColor theme="7" tint="0.79995117038483843"/>
        <bgColor indexed="64"/>
      </patternFill>
    </fill>
    <fill>
      <patternFill patternType="solid">
        <fgColor theme="9" tint="-0.249977111117893"/>
        <bgColor indexed="64"/>
      </patternFill>
    </fill>
    <fill>
      <patternFill patternType="solid">
        <fgColor theme="5" tint="0.59999389629810485"/>
        <bgColor indexed="64"/>
      </patternFill>
    </fill>
    <fill>
      <patternFill patternType="solid">
        <fgColor theme="2" tint="-0.249977111117893"/>
        <bgColor indexed="64"/>
      </patternFill>
    </fill>
    <fill>
      <patternFill patternType="solid">
        <fgColor rgb="FF7030A0"/>
        <bgColor indexed="64"/>
      </patternFill>
    </fill>
    <fill>
      <patternFill patternType="solid">
        <fgColor rgb="FFC00000"/>
        <bgColor indexed="64"/>
      </patternFill>
    </fill>
    <fill>
      <patternFill patternType="solid">
        <fgColor theme="5" tint="-0.249977111117893"/>
        <bgColor indexed="64"/>
      </patternFill>
    </fill>
    <fill>
      <patternFill patternType="solid">
        <fgColor rgb="FFFFC000"/>
        <bgColor indexed="64"/>
      </patternFill>
    </fill>
    <fill>
      <patternFill patternType="solid">
        <fgColor theme="4" tint="0.79998168889431442"/>
        <bgColor indexed="64"/>
      </patternFill>
    </fill>
    <fill>
      <patternFill patternType="solid">
        <fgColor theme="5" tint="0.79998168889431442"/>
        <bgColor indexed="64"/>
      </patternFill>
    </fill>
  </fills>
  <borders count="36">
    <border>
      <left/>
      <right/>
      <top/>
      <bottom/>
      <diagonal/>
    </border>
    <border>
      <left style="thin">
        <color auto="1"/>
      </left>
      <right style="thin">
        <color auto="1"/>
      </right>
      <top style="thin">
        <color auto="1"/>
      </top>
      <bottom style="thin">
        <color auto="1"/>
      </bottom>
      <diagonal/>
    </border>
    <border>
      <left/>
      <right/>
      <top style="thin">
        <color auto="1"/>
      </top>
      <bottom/>
      <diagonal/>
    </border>
    <border>
      <left/>
      <right style="thin">
        <color auto="1"/>
      </right>
      <top style="thin">
        <color auto="1"/>
      </top>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indexed="8"/>
      </left>
      <right style="thin">
        <color indexed="8"/>
      </right>
      <top style="thin">
        <color indexed="8"/>
      </top>
      <bottom style="thin">
        <color indexed="8"/>
      </bottom>
      <diagonal/>
    </border>
    <border>
      <left style="thin">
        <color auto="1"/>
      </left>
      <right style="thin">
        <color auto="1"/>
      </right>
      <top/>
      <bottom style="thin">
        <color auto="1"/>
      </bottom>
      <diagonal/>
    </border>
    <border>
      <left style="thin">
        <color indexed="8"/>
      </left>
      <right/>
      <top style="thin">
        <color indexed="8"/>
      </top>
      <bottom/>
      <diagonal/>
    </border>
    <border>
      <left style="thin">
        <color indexed="8"/>
      </left>
      <right style="thin">
        <color indexed="8"/>
      </right>
      <top style="thin">
        <color indexed="8"/>
      </top>
      <bottom/>
      <diagonal/>
    </border>
    <border>
      <left style="thin">
        <color indexed="8"/>
      </left>
      <right/>
      <top style="thin">
        <color indexed="8"/>
      </top>
      <bottom style="thin">
        <color indexed="8"/>
      </bottom>
      <diagonal/>
    </border>
    <border>
      <left style="thin">
        <color indexed="8"/>
      </left>
      <right style="thin">
        <color indexed="8"/>
      </right>
      <top/>
      <bottom style="thin">
        <color indexed="8"/>
      </bottom>
      <diagonal/>
    </border>
    <border>
      <left/>
      <right style="thin">
        <color auto="1"/>
      </right>
      <top style="thin">
        <color auto="1"/>
      </top>
      <bottom style="thin">
        <color auto="1"/>
      </bottom>
      <diagonal/>
    </border>
    <border>
      <left/>
      <right style="thin">
        <color indexed="8"/>
      </right>
      <top style="thin">
        <color indexed="8"/>
      </top>
      <bottom style="thin">
        <color indexed="8"/>
      </bottom>
      <diagonal/>
    </border>
    <border>
      <left style="thin">
        <color auto="1"/>
      </left>
      <right/>
      <top style="thin">
        <color auto="1"/>
      </top>
      <bottom/>
      <diagonal/>
    </border>
    <border>
      <left style="thin">
        <color auto="1"/>
      </left>
      <right/>
      <top/>
      <bottom style="thin">
        <color auto="1"/>
      </bottom>
      <diagonal/>
    </border>
    <border>
      <left/>
      <right style="thin">
        <color auto="1"/>
      </right>
      <top/>
      <bottom style="thin">
        <color auto="1"/>
      </bottom>
      <diagonal/>
    </border>
    <border>
      <left/>
      <right style="thin">
        <color auto="1"/>
      </right>
      <top/>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13">
    <xf numFmtId="183" fontId="0" fillId="0" borderId="0">
      <alignment vertical="center"/>
    </xf>
    <xf numFmtId="41" fontId="4" fillId="0" borderId="0" applyFont="0" applyFill="0" applyBorder="0" applyAlignment="0" applyProtection="0">
      <alignment vertical="center"/>
    </xf>
    <xf numFmtId="183" fontId="83" fillId="0" borderId="0" applyNumberFormat="0" applyFill="0" applyBorder="0" applyAlignment="0" applyProtection="0">
      <alignment vertical="center"/>
    </xf>
    <xf numFmtId="9" fontId="4" fillId="0" borderId="0" applyFont="0" applyFill="0" applyBorder="0" applyAlignment="0" applyProtection="0">
      <alignment vertical="center"/>
    </xf>
    <xf numFmtId="183" fontId="24" fillId="0" borderId="0">
      <alignment vertical="center"/>
    </xf>
    <xf numFmtId="183" fontId="84" fillId="0" borderId="0">
      <alignment vertical="center"/>
    </xf>
    <xf numFmtId="43" fontId="95" fillId="0" borderId="0" applyFont="0" applyFill="0" applyBorder="0" applyAlignment="0" applyProtection="0">
      <alignment vertical="center"/>
    </xf>
    <xf numFmtId="183" fontId="4" fillId="0" borderId="0">
      <alignment vertical="center"/>
    </xf>
    <xf numFmtId="43" fontId="4" fillId="0" borderId="0" applyFont="0" applyFill="0" applyBorder="0" applyAlignment="0" applyProtection="0">
      <alignment vertical="center"/>
    </xf>
    <xf numFmtId="183" fontId="24" fillId="0" borderId="0"/>
    <xf numFmtId="183" fontId="2" fillId="0" borderId="0">
      <alignment vertical="center"/>
    </xf>
    <xf numFmtId="183" fontId="24" fillId="0" borderId="0"/>
    <xf numFmtId="183" fontId="24" fillId="0" borderId="0"/>
  </cellStyleXfs>
  <cellXfs count="1040">
    <xf numFmtId="183" fontId="0" fillId="0" borderId="0" xfId="0">
      <alignment vertical="center"/>
    </xf>
    <xf numFmtId="183" fontId="3" fillId="0" borderId="0" xfId="0" applyFont="1" applyFill="1" applyAlignment="1">
      <alignment vertical="center"/>
    </xf>
    <xf numFmtId="183" fontId="4" fillId="0" borderId="0" xfId="0" applyFont="1" applyFill="1" applyAlignment="1"/>
    <xf numFmtId="183" fontId="4" fillId="0" borderId="0" xfId="0" applyFont="1" applyFill="1" applyAlignment="1">
      <alignment vertical="center"/>
    </xf>
    <xf numFmtId="183" fontId="4" fillId="0" borderId="0" xfId="0" applyFont="1" applyFill="1" applyAlignment="1">
      <alignment horizontal="center"/>
    </xf>
    <xf numFmtId="183" fontId="4" fillId="0" borderId="0" xfId="0" applyFont="1" applyFill="1" applyAlignment="1">
      <alignment wrapText="1"/>
    </xf>
    <xf numFmtId="183" fontId="5" fillId="2" borderId="1" xfId="0" applyNumberFormat="1" applyFont="1" applyFill="1" applyBorder="1" applyAlignment="1">
      <alignment horizontal="center" vertical="center" wrapText="1"/>
    </xf>
    <xf numFmtId="183" fontId="6" fillId="0" borderId="1" xfId="0" applyFont="1" applyFill="1" applyBorder="1" applyAlignment="1">
      <alignment horizontal="center"/>
    </xf>
    <xf numFmtId="183" fontId="6" fillId="2" borderId="1" xfId="0" applyNumberFormat="1" applyFont="1" applyFill="1" applyBorder="1" applyAlignment="1">
      <alignment horizontal="center"/>
    </xf>
    <xf numFmtId="183" fontId="6" fillId="2" borderId="1" xfId="0" applyNumberFormat="1" applyFont="1" applyFill="1" applyBorder="1" applyAlignment="1">
      <alignment wrapText="1"/>
    </xf>
    <xf numFmtId="2" fontId="6" fillId="2" borderId="1" xfId="0" applyNumberFormat="1" applyFont="1" applyFill="1" applyBorder="1" applyAlignment="1">
      <alignment horizontal="center"/>
    </xf>
    <xf numFmtId="183" fontId="6" fillId="0" borderId="1" xfId="0" applyNumberFormat="1" applyFont="1" applyFill="1" applyBorder="1" applyAlignment="1">
      <alignment horizontal="center"/>
    </xf>
    <xf numFmtId="178" fontId="4" fillId="0" borderId="0" xfId="0" applyNumberFormat="1" applyFont="1" applyFill="1" applyAlignment="1">
      <alignment vertical="center"/>
    </xf>
    <xf numFmtId="183" fontId="8" fillId="0" borderId="0" xfId="0" applyFont="1" applyFill="1" applyAlignment="1">
      <alignment vertical="center"/>
    </xf>
    <xf numFmtId="183" fontId="9" fillId="0" borderId="0" xfId="0" applyFont="1" applyFill="1" applyAlignment="1">
      <alignment vertical="center"/>
    </xf>
    <xf numFmtId="183" fontId="10" fillId="0" borderId="1" xfId="0" applyFont="1" applyFill="1" applyBorder="1" applyAlignment="1">
      <alignment vertical="center"/>
    </xf>
    <xf numFmtId="183" fontId="11" fillId="0" borderId="1" xfId="0" applyFont="1" applyFill="1" applyBorder="1" applyAlignment="1">
      <alignment vertical="center"/>
    </xf>
    <xf numFmtId="183" fontId="12" fillId="0" borderId="1" xfId="0" applyFont="1" applyFill="1" applyBorder="1" applyAlignment="1">
      <alignment vertical="center"/>
    </xf>
    <xf numFmtId="178" fontId="12" fillId="0" borderId="1" xfId="0" applyNumberFormat="1" applyFont="1" applyFill="1" applyBorder="1" applyAlignment="1">
      <alignment vertical="center"/>
    </xf>
    <xf numFmtId="183" fontId="12" fillId="0" borderId="1" xfId="0" applyFont="1" applyFill="1" applyBorder="1" applyAlignment="1">
      <alignment horizontal="left" vertical="center"/>
    </xf>
    <xf numFmtId="183" fontId="12" fillId="3" borderId="1" xfId="0" applyFont="1" applyFill="1" applyBorder="1" applyAlignment="1">
      <alignment horizontal="left" vertical="center"/>
    </xf>
    <xf numFmtId="178" fontId="11" fillId="0" borderId="1" xfId="0" applyNumberFormat="1" applyFont="1" applyFill="1" applyBorder="1" applyAlignment="1">
      <alignment vertical="center"/>
    </xf>
    <xf numFmtId="183" fontId="13" fillId="0" borderId="1" xfId="0" applyFont="1" applyFill="1" applyBorder="1" applyAlignment="1">
      <alignment vertical="center"/>
    </xf>
    <xf numFmtId="183" fontId="14" fillId="0" borderId="1" xfId="0" applyFont="1" applyFill="1" applyBorder="1" applyAlignment="1">
      <alignment vertical="center"/>
    </xf>
    <xf numFmtId="183" fontId="12" fillId="0" borderId="0" xfId="0" applyFont="1" applyFill="1" applyAlignment="1">
      <alignment horizontal="left" vertical="center"/>
    </xf>
    <xf numFmtId="183" fontId="9" fillId="0" borderId="0" xfId="0" applyFont="1" applyFill="1" applyAlignment="1">
      <alignment horizontal="left" vertical="center"/>
    </xf>
    <xf numFmtId="183" fontId="14" fillId="0" borderId="0" xfId="0" applyFont="1" applyFill="1" applyAlignment="1">
      <alignment horizontal="left" vertical="center"/>
    </xf>
    <xf numFmtId="183" fontId="4" fillId="0" borderId="0" xfId="0" applyNumberFormat="1" applyFont="1" applyFill="1" applyAlignment="1">
      <alignment vertical="center"/>
    </xf>
    <xf numFmtId="183" fontId="4" fillId="0" borderId="0" xfId="0" applyFont="1" applyFill="1" applyAlignment="1">
      <alignment horizontal="left" vertical="center"/>
    </xf>
    <xf numFmtId="183" fontId="4" fillId="0" borderId="1" xfId="0" applyFont="1" applyFill="1" applyBorder="1" applyAlignment="1">
      <alignment vertical="center"/>
    </xf>
    <xf numFmtId="183" fontId="12" fillId="0" borderId="1" xfId="0" applyFont="1" applyFill="1" applyBorder="1" applyAlignment="1"/>
    <xf numFmtId="178" fontId="4" fillId="0" borderId="1" xfId="0" applyNumberFormat="1" applyFont="1" applyFill="1" applyBorder="1" applyAlignment="1">
      <alignment vertical="center"/>
    </xf>
    <xf numFmtId="4" fontId="12" fillId="0" borderId="1" xfId="0" applyNumberFormat="1" applyFont="1" applyFill="1" applyBorder="1" applyAlignment="1"/>
    <xf numFmtId="183" fontId="14" fillId="0" borderId="1" xfId="0" applyFont="1" applyFill="1" applyBorder="1" applyAlignment="1"/>
    <xf numFmtId="183" fontId="4" fillId="0" borderId="1" xfId="0" applyFont="1" applyFill="1" applyBorder="1" applyAlignment="1">
      <alignment horizontal="left" vertical="center"/>
    </xf>
    <xf numFmtId="183" fontId="8" fillId="0" borderId="1" xfId="0" applyFont="1" applyFill="1" applyBorder="1" applyAlignment="1">
      <alignment vertical="center"/>
    </xf>
    <xf numFmtId="183" fontId="15" fillId="0" borderId="0" xfId="0" applyFont="1" applyFill="1" applyAlignment="1">
      <alignment vertical="center" wrapText="1"/>
    </xf>
    <xf numFmtId="183" fontId="15" fillId="0" borderId="0" xfId="0" applyFont="1" applyFill="1" applyAlignment="1">
      <alignment vertical="top"/>
    </xf>
    <xf numFmtId="183" fontId="15" fillId="0" borderId="0" xfId="0" applyFont="1" applyFill="1" applyAlignment="1">
      <alignment horizontal="center" vertical="center" wrapText="1"/>
    </xf>
    <xf numFmtId="183" fontId="16" fillId="0" borderId="1" xfId="0" applyFont="1" applyFill="1" applyBorder="1" applyAlignment="1">
      <alignment horizontal="center" vertical="center" wrapText="1"/>
    </xf>
    <xf numFmtId="183" fontId="15" fillId="0" borderId="1" xfId="0" applyFont="1" applyFill="1" applyBorder="1" applyAlignment="1">
      <alignment horizontal="center" vertical="center" wrapText="1"/>
    </xf>
    <xf numFmtId="183" fontId="15" fillId="0" borderId="1" xfId="5" applyFont="1" applyFill="1" applyBorder="1" applyAlignment="1">
      <alignment horizontal="left" vertical="center" wrapText="1"/>
    </xf>
    <xf numFmtId="183" fontId="15" fillId="0" borderId="1" xfId="0" applyFont="1" applyFill="1" applyBorder="1" applyAlignment="1">
      <alignment vertical="center" wrapText="1"/>
    </xf>
    <xf numFmtId="49" fontId="15" fillId="0" borderId="1" xfId="0" applyNumberFormat="1" applyFont="1" applyFill="1" applyBorder="1" applyAlignment="1">
      <alignment vertical="center" wrapText="1"/>
    </xf>
    <xf numFmtId="14" fontId="15" fillId="0" borderId="1" xfId="0" applyNumberFormat="1" applyFont="1" applyFill="1" applyBorder="1" applyAlignment="1">
      <alignment horizontal="right" vertical="center" wrapText="1"/>
    </xf>
    <xf numFmtId="4" fontId="15" fillId="0" borderId="1" xfId="0" applyNumberFormat="1" applyFont="1" applyFill="1" applyBorder="1" applyAlignment="1">
      <alignment horizontal="right" vertical="center" wrapText="1"/>
    </xf>
    <xf numFmtId="183" fontId="15" fillId="0" borderId="1" xfId="0" applyFont="1" applyFill="1" applyBorder="1" applyAlignment="1">
      <alignment horizontal="left" vertical="center" wrapText="1"/>
    </xf>
    <xf numFmtId="183" fontId="15" fillId="0" borderId="1" xfId="5" applyFont="1" applyFill="1" applyBorder="1" applyAlignment="1">
      <alignment vertical="center" wrapText="1"/>
    </xf>
    <xf numFmtId="3" fontId="15" fillId="0" borderId="1" xfId="0" applyNumberFormat="1" applyFont="1" applyFill="1" applyBorder="1" applyAlignment="1">
      <alignment horizontal="center" vertical="center" wrapText="1"/>
    </xf>
    <xf numFmtId="183" fontId="15" fillId="0" borderId="1" xfId="5" applyFont="1" applyFill="1" applyBorder="1" applyAlignment="1">
      <alignment horizontal="center" vertical="center" wrapText="1"/>
    </xf>
    <xf numFmtId="183" fontId="15" fillId="0" borderId="1" xfId="0" applyFont="1" applyFill="1" applyBorder="1" applyAlignment="1">
      <alignment vertical="top"/>
    </xf>
    <xf numFmtId="183" fontId="15" fillId="0" borderId="1" xfId="0" applyFont="1" applyFill="1" applyBorder="1" applyAlignment="1">
      <alignment horizontal="center" vertical="top"/>
    </xf>
    <xf numFmtId="49" fontId="15" fillId="0" borderId="1" xfId="0" applyNumberFormat="1" applyFont="1" applyFill="1" applyBorder="1" applyAlignment="1">
      <alignment vertical="top"/>
    </xf>
    <xf numFmtId="14" fontId="15" fillId="0" borderId="1" xfId="0" applyNumberFormat="1" applyFont="1" applyFill="1" applyBorder="1" applyAlignment="1">
      <alignment horizontal="right" vertical="top"/>
    </xf>
    <xf numFmtId="4" fontId="15" fillId="0" borderId="1" xfId="0" applyNumberFormat="1" applyFont="1" applyFill="1" applyBorder="1" applyAlignment="1">
      <alignment horizontal="right" vertical="top"/>
    </xf>
    <xf numFmtId="3" fontId="15" fillId="0" borderId="1" xfId="0" applyNumberFormat="1" applyFont="1" applyFill="1" applyBorder="1" applyAlignment="1">
      <alignment horizontal="right" vertical="center" wrapText="1"/>
    </xf>
    <xf numFmtId="3" fontId="15" fillId="0" borderId="1" xfId="0" applyNumberFormat="1" applyFont="1" applyFill="1" applyBorder="1" applyAlignment="1">
      <alignment horizontal="right" vertical="top"/>
    </xf>
    <xf numFmtId="183" fontId="15" fillId="0" borderId="1" xfId="0" applyNumberFormat="1" applyFont="1" applyFill="1" applyBorder="1" applyAlignment="1">
      <alignment horizontal="center" vertical="center" wrapText="1"/>
    </xf>
    <xf numFmtId="4" fontId="15" fillId="0" borderId="1" xfId="0" applyNumberFormat="1" applyFont="1" applyFill="1" applyBorder="1" applyAlignment="1">
      <alignment vertical="center" wrapText="1"/>
    </xf>
    <xf numFmtId="183" fontId="15" fillId="3" borderId="0" xfId="0" applyFont="1" applyFill="1" applyAlignment="1">
      <alignment vertical="center" wrapText="1"/>
    </xf>
    <xf numFmtId="183" fontId="15" fillId="4" borderId="0" xfId="0" applyFont="1" applyFill="1" applyAlignment="1">
      <alignment vertical="center" wrapText="1"/>
    </xf>
    <xf numFmtId="183" fontId="4" fillId="0" borderId="0" xfId="0" applyFont="1" applyFill="1" applyAlignment="1">
      <alignment horizontal="center" vertical="center"/>
    </xf>
    <xf numFmtId="43" fontId="4" fillId="0" borderId="0" xfId="0" applyNumberFormat="1" applyFont="1" applyFill="1" applyAlignment="1">
      <alignment horizontal="center" vertical="center"/>
    </xf>
    <xf numFmtId="183" fontId="4" fillId="0" borderId="0" xfId="0" applyFont="1" applyFill="1" applyAlignment="1">
      <alignment horizontal="center" vertical="center" wrapText="1"/>
    </xf>
    <xf numFmtId="183" fontId="4" fillId="0" borderId="1" xfId="0" applyFont="1" applyFill="1" applyBorder="1" applyAlignment="1">
      <alignment horizontal="center" vertical="center"/>
    </xf>
    <xf numFmtId="43" fontId="4" fillId="0" borderId="1" xfId="0" applyNumberFormat="1" applyFont="1" applyFill="1" applyBorder="1" applyAlignment="1">
      <alignment horizontal="center" vertical="center" wrapText="1"/>
    </xf>
    <xf numFmtId="183" fontId="4" fillId="0" borderId="1" xfId="0" applyFont="1" applyFill="1" applyBorder="1" applyAlignment="1">
      <alignment horizontal="center" vertical="center" wrapText="1"/>
    </xf>
    <xf numFmtId="14" fontId="4" fillId="0" borderId="1" xfId="0" applyNumberFormat="1" applyFont="1" applyFill="1" applyBorder="1" applyAlignment="1">
      <alignment horizontal="center" vertical="center"/>
    </xf>
    <xf numFmtId="43" fontId="4" fillId="0" borderId="1" xfId="0" applyNumberFormat="1" applyFont="1" applyFill="1" applyBorder="1" applyAlignment="1">
      <alignment horizontal="center" vertical="center"/>
    </xf>
    <xf numFmtId="9" fontId="4" fillId="0" borderId="1" xfId="0" applyNumberFormat="1" applyFont="1" applyFill="1" applyBorder="1" applyAlignment="1">
      <alignment horizontal="center" vertical="center" wrapText="1"/>
    </xf>
    <xf numFmtId="183" fontId="4" fillId="0" borderId="1" xfId="0" applyFont="1" applyFill="1" applyBorder="1" applyAlignment="1"/>
    <xf numFmtId="183" fontId="19" fillId="3" borderId="0" xfId="0" applyFont="1" applyFill="1" applyAlignment="1">
      <alignment horizontal="center" vertical="center"/>
    </xf>
    <xf numFmtId="183" fontId="0" fillId="0" borderId="0" xfId="0" applyNumberFormat="1" applyFill="1" applyAlignment="1">
      <alignment vertical="center" wrapText="1"/>
    </xf>
    <xf numFmtId="183" fontId="0" fillId="0" borderId="1" xfId="0" applyNumberFormat="1" applyFill="1" applyBorder="1" applyAlignment="1">
      <alignment vertical="center" wrapText="1"/>
    </xf>
    <xf numFmtId="183" fontId="21" fillId="0" borderId="1" xfId="4" applyFont="1" applyFill="1" applyBorder="1" applyAlignment="1">
      <alignment horizontal="center" vertical="center" wrapText="1"/>
    </xf>
    <xf numFmtId="183" fontId="21" fillId="0" borderId="1" xfId="4" applyNumberFormat="1" applyFont="1" applyFill="1" applyBorder="1" applyAlignment="1">
      <alignment horizontal="center" vertical="center" wrapText="1"/>
    </xf>
    <xf numFmtId="183" fontId="21" fillId="0" borderId="1" xfId="4" applyFont="1" applyFill="1" applyBorder="1" applyAlignment="1">
      <alignment vertical="center" wrapText="1"/>
    </xf>
    <xf numFmtId="14" fontId="21" fillId="0" borderId="1" xfId="4" applyNumberFormat="1" applyFont="1" applyFill="1" applyBorder="1" applyAlignment="1">
      <alignment horizontal="center" vertical="center" wrapText="1"/>
    </xf>
    <xf numFmtId="183" fontId="21" fillId="0" borderId="5" xfId="4" applyFont="1" applyFill="1" applyBorder="1" applyAlignment="1">
      <alignment horizontal="center" vertical="center" wrapText="1"/>
    </xf>
    <xf numFmtId="183" fontId="22" fillId="0" borderId="1" xfId="4" applyNumberFormat="1" applyFont="1" applyFill="1" applyBorder="1" applyAlignment="1">
      <alignment horizontal="center" vertical="center" wrapText="1"/>
    </xf>
    <xf numFmtId="14" fontId="23" fillId="0" borderId="7" xfId="4" applyNumberFormat="1" applyFont="1" applyFill="1" applyBorder="1" applyAlignment="1">
      <alignment horizontal="center" vertical="center" wrapText="1"/>
    </xf>
    <xf numFmtId="183" fontId="21" fillId="0" borderId="8" xfId="4" applyFont="1" applyFill="1" applyBorder="1" applyAlignment="1">
      <alignment horizontal="center" vertical="center" wrapText="1"/>
    </xf>
    <xf numFmtId="183" fontId="21" fillId="0" borderId="5" xfId="4" applyFont="1" applyFill="1" applyBorder="1" applyAlignment="1">
      <alignment vertical="center" wrapText="1"/>
    </xf>
    <xf numFmtId="14" fontId="23" fillId="0" borderId="9" xfId="4" applyNumberFormat="1" applyFont="1" applyFill="1" applyBorder="1" applyAlignment="1">
      <alignment horizontal="center" vertical="center" wrapText="1"/>
    </xf>
    <xf numFmtId="183" fontId="22" fillId="0" borderId="5" xfId="4" applyNumberFormat="1" applyFont="1" applyFill="1" applyBorder="1" applyAlignment="1">
      <alignment horizontal="center" vertical="center" wrapText="1"/>
    </xf>
    <xf numFmtId="183" fontId="21" fillId="0" borderId="8" xfId="4" applyFont="1" applyFill="1" applyBorder="1" applyAlignment="1">
      <alignment vertical="center" wrapText="1"/>
    </xf>
    <xf numFmtId="14" fontId="23" fillId="0" borderId="10" xfId="4" applyNumberFormat="1" applyFont="1" applyFill="1" applyBorder="1" applyAlignment="1">
      <alignment horizontal="center" vertical="center" wrapText="1"/>
    </xf>
    <xf numFmtId="183" fontId="21" fillId="0" borderId="5" xfId="4" applyNumberFormat="1" applyFont="1" applyFill="1" applyBorder="1" applyAlignment="1">
      <alignment horizontal="center" vertical="center" wrapText="1"/>
    </xf>
    <xf numFmtId="183" fontId="21" fillId="0" borderId="6" xfId="4" applyNumberFormat="1" applyFont="1" applyFill="1" applyBorder="1" applyAlignment="1">
      <alignment horizontal="center" vertical="center" wrapText="1"/>
    </xf>
    <xf numFmtId="14" fontId="23" fillId="0" borderId="11" xfId="4" applyNumberFormat="1" applyFont="1" applyFill="1" applyBorder="1" applyAlignment="1">
      <alignment horizontal="center" vertical="center" wrapText="1"/>
    </xf>
    <xf numFmtId="14" fontId="23" fillId="0" borderId="1" xfId="4" applyNumberFormat="1" applyFont="1" applyFill="1" applyBorder="1" applyAlignment="1">
      <alignment horizontal="center" vertical="center" wrapText="1"/>
    </xf>
    <xf numFmtId="14" fontId="23" fillId="0" borderId="12" xfId="4" applyNumberFormat="1" applyFont="1" applyFill="1" applyBorder="1" applyAlignment="1">
      <alignment horizontal="center" vertical="center" wrapText="1"/>
    </xf>
    <xf numFmtId="183" fontId="24" fillId="0" borderId="0" xfId="4" applyAlignment="1">
      <alignment vertical="center" wrapText="1"/>
    </xf>
    <xf numFmtId="183" fontId="25" fillId="0" borderId="1" xfId="4" applyFont="1" applyFill="1" applyBorder="1" applyAlignment="1">
      <alignment vertical="center" wrapText="1"/>
    </xf>
    <xf numFmtId="183" fontId="26" fillId="0" borderId="1" xfId="4" applyFont="1" applyFill="1" applyBorder="1" applyAlignment="1">
      <alignment horizontal="center" vertical="center" wrapText="1"/>
    </xf>
    <xf numFmtId="183" fontId="21" fillId="3" borderId="1" xfId="4" applyFont="1" applyFill="1" applyBorder="1" applyAlignment="1">
      <alignment horizontal="center" vertical="center" wrapText="1"/>
    </xf>
    <xf numFmtId="183" fontId="21" fillId="0" borderId="13" xfId="4" applyFont="1" applyFill="1" applyBorder="1" applyAlignment="1">
      <alignment vertical="center" wrapText="1"/>
    </xf>
    <xf numFmtId="183" fontId="22" fillId="3" borderId="0" xfId="4" applyNumberFormat="1" applyFont="1" applyFill="1" applyAlignment="1">
      <alignment horizontal="center" vertical="center" wrapText="1"/>
    </xf>
    <xf numFmtId="183" fontId="22" fillId="3" borderId="1" xfId="4" applyNumberFormat="1" applyFont="1" applyFill="1" applyBorder="1" applyAlignment="1">
      <alignment horizontal="center" vertical="center" wrapText="1"/>
    </xf>
    <xf numFmtId="14" fontId="21" fillId="0" borderId="5" xfId="4" applyNumberFormat="1" applyFont="1" applyFill="1" applyBorder="1" applyAlignment="1">
      <alignment horizontal="center" vertical="center" wrapText="1"/>
    </xf>
    <xf numFmtId="14" fontId="23" fillId="0" borderId="14" xfId="4" applyNumberFormat="1" applyFont="1" applyFill="1" applyBorder="1" applyAlignment="1">
      <alignment horizontal="center" vertical="center" wrapText="1"/>
    </xf>
    <xf numFmtId="14" fontId="21" fillId="0" borderId="13" xfId="4" applyNumberFormat="1" applyFont="1" applyFill="1" applyBorder="1" applyAlignment="1">
      <alignment horizontal="center" vertical="center" wrapText="1"/>
    </xf>
    <xf numFmtId="14" fontId="21" fillId="0" borderId="3" xfId="4" applyNumberFormat="1" applyFont="1" applyFill="1" applyBorder="1" applyAlignment="1">
      <alignment horizontal="center" vertical="center" wrapText="1"/>
    </xf>
    <xf numFmtId="183" fontId="23" fillId="4" borderId="1" xfId="4" applyNumberFormat="1" applyFont="1" applyFill="1" applyBorder="1" applyAlignment="1">
      <alignment horizontal="center" vertical="center" wrapText="1"/>
    </xf>
    <xf numFmtId="180" fontId="27" fillId="4" borderId="1" xfId="0" applyNumberFormat="1" applyFont="1" applyFill="1" applyBorder="1" applyAlignment="1">
      <alignment vertical="center" wrapText="1"/>
    </xf>
    <xf numFmtId="183" fontId="28" fillId="6" borderId="0" xfId="0" applyNumberFormat="1" applyFont="1" applyFill="1" applyAlignment="1">
      <alignment vertical="center" wrapText="1"/>
    </xf>
    <xf numFmtId="178" fontId="27" fillId="6" borderId="0" xfId="0" applyNumberFormat="1" applyFont="1" applyFill="1" applyAlignment="1">
      <alignment vertical="center" wrapText="1"/>
    </xf>
    <xf numFmtId="183" fontId="21" fillId="3" borderId="5" xfId="4" applyFont="1" applyFill="1" applyBorder="1" applyAlignment="1">
      <alignment horizontal="center" vertical="center" wrapText="1"/>
    </xf>
    <xf numFmtId="183" fontId="29" fillId="0" borderId="5" xfId="4" applyFont="1" applyFill="1" applyBorder="1" applyAlignment="1">
      <alignment horizontal="center" vertical="center" wrapText="1"/>
    </xf>
    <xf numFmtId="178" fontId="30" fillId="0" borderId="1" xfId="0" applyNumberFormat="1" applyFont="1" applyFill="1" applyBorder="1" applyAlignment="1">
      <alignment vertical="center" wrapText="1"/>
    </xf>
    <xf numFmtId="183" fontId="0" fillId="0" borderId="0" xfId="0" applyAlignment="1">
      <alignment horizontal="center" vertical="center"/>
    </xf>
    <xf numFmtId="183" fontId="0" fillId="0" borderId="0" xfId="0" applyAlignment="1">
      <alignment vertical="center"/>
    </xf>
    <xf numFmtId="183" fontId="34" fillId="0" borderId="1" xfId="0" applyFont="1" applyFill="1" applyBorder="1" applyAlignment="1">
      <alignment horizontal="center" vertical="center"/>
    </xf>
    <xf numFmtId="14" fontId="35" fillId="0" borderId="1" xfId="0" applyNumberFormat="1" applyFont="1" applyFill="1" applyBorder="1" applyAlignment="1">
      <alignment horizontal="center" vertical="center"/>
    </xf>
    <xf numFmtId="180" fontId="35" fillId="0" borderId="1" xfId="0" applyNumberFormat="1" applyFont="1" applyFill="1" applyBorder="1" applyAlignment="1">
      <alignment horizontal="center" vertical="center"/>
    </xf>
    <xf numFmtId="14" fontId="35" fillId="5" borderId="1" xfId="0" applyNumberFormat="1" applyFont="1" applyFill="1" applyBorder="1" applyAlignment="1">
      <alignment horizontal="center" vertical="center"/>
    </xf>
    <xf numFmtId="180" fontId="35" fillId="5" borderId="1" xfId="0" applyNumberFormat="1" applyFont="1" applyFill="1" applyBorder="1" applyAlignment="1">
      <alignment horizontal="center" vertical="center"/>
    </xf>
    <xf numFmtId="183" fontId="35" fillId="0" borderId="1" xfId="0" applyFont="1" applyFill="1" applyBorder="1" applyAlignment="1">
      <alignment vertical="center"/>
    </xf>
    <xf numFmtId="183" fontId="35" fillId="0" borderId="1" xfId="0" applyFont="1" applyFill="1" applyBorder="1" applyAlignment="1">
      <alignment horizontal="center" vertical="center"/>
    </xf>
    <xf numFmtId="183" fontId="35" fillId="5" borderId="1" xfId="0" applyNumberFormat="1" applyFont="1" applyFill="1" applyBorder="1" applyAlignment="1">
      <alignment horizontal="center" vertical="center"/>
    </xf>
    <xf numFmtId="183" fontId="35" fillId="7" borderId="1" xfId="0" applyFont="1" applyFill="1" applyBorder="1" applyAlignment="1">
      <alignment horizontal="center" vertical="center"/>
    </xf>
    <xf numFmtId="180" fontId="35" fillId="7" borderId="1" xfId="0" applyNumberFormat="1" applyFont="1" applyFill="1" applyBorder="1" applyAlignment="1">
      <alignment horizontal="center" vertical="center"/>
    </xf>
    <xf numFmtId="180" fontId="36" fillId="0" borderId="1" xfId="0" applyNumberFormat="1" applyFont="1" applyFill="1" applyBorder="1" applyAlignment="1">
      <alignment horizontal="center" vertical="center"/>
    </xf>
    <xf numFmtId="183" fontId="0" fillId="0" borderId="0" xfId="0" applyFont="1">
      <alignment vertical="center"/>
    </xf>
    <xf numFmtId="186" fontId="0" fillId="0" borderId="0" xfId="0" applyNumberFormat="1" applyFont="1">
      <alignment vertical="center"/>
    </xf>
    <xf numFmtId="183" fontId="37" fillId="0" borderId="1" xfId="0" applyFont="1" applyBorder="1" applyAlignment="1">
      <alignment horizontal="center" vertical="center" wrapText="1"/>
    </xf>
    <xf numFmtId="186" fontId="37" fillId="0" borderId="1" xfId="0" applyNumberFormat="1" applyFont="1" applyBorder="1" applyAlignment="1">
      <alignment horizontal="center" vertical="center" wrapText="1"/>
    </xf>
    <xf numFmtId="183" fontId="38" fillId="0" borderId="1" xfId="0" applyFont="1" applyBorder="1">
      <alignment vertical="center"/>
    </xf>
    <xf numFmtId="186" fontId="38" fillId="0" borderId="1" xfId="0" applyNumberFormat="1" applyFont="1" applyBorder="1">
      <alignment vertical="center"/>
    </xf>
    <xf numFmtId="183" fontId="24" fillId="0" borderId="1" xfId="0" applyFont="1" applyFill="1" applyBorder="1" applyAlignment="1">
      <alignment horizontal="center" vertical="center" wrapText="1"/>
    </xf>
    <xf numFmtId="183" fontId="24" fillId="0" borderId="1" xfId="0" applyFont="1" applyFill="1" applyBorder="1" applyAlignment="1">
      <alignment horizontal="center" vertical="center"/>
    </xf>
    <xf numFmtId="183" fontId="39" fillId="0" borderId="1" xfId="0" applyFont="1" applyFill="1" applyBorder="1" applyAlignment="1">
      <alignment horizontal="center" vertical="center" wrapText="1"/>
    </xf>
    <xf numFmtId="183" fontId="40" fillId="0" borderId="1" xfId="0" applyFont="1" applyFill="1" applyBorder="1" applyAlignment="1">
      <alignment horizontal="center" vertical="center" wrapText="1"/>
    </xf>
    <xf numFmtId="183" fontId="40" fillId="0" borderId="1" xfId="0" applyFont="1" applyFill="1" applyBorder="1" applyAlignment="1">
      <alignment horizontal="center" vertical="center"/>
    </xf>
    <xf numFmtId="183" fontId="41" fillId="0" borderId="1" xfId="0" applyFont="1" applyFill="1" applyBorder="1" applyAlignment="1">
      <alignment horizontal="center" vertical="center" wrapText="1"/>
    </xf>
    <xf numFmtId="183" fontId="40" fillId="0" borderId="1" xfId="0" applyFont="1" applyFill="1" applyBorder="1" applyAlignment="1">
      <alignment horizontal="left" vertical="center" wrapText="1"/>
    </xf>
    <xf numFmtId="183" fontId="24" fillId="5" borderId="1" xfId="0" applyFont="1" applyFill="1" applyBorder="1" applyAlignment="1">
      <alignment horizontal="center" vertical="center" wrapText="1"/>
    </xf>
    <xf numFmtId="183" fontId="24" fillId="0" borderId="0" xfId="0" applyFont="1" applyFill="1" applyBorder="1" applyAlignment="1">
      <alignment horizontal="center" vertical="center" wrapText="1"/>
    </xf>
    <xf numFmtId="183" fontId="24" fillId="0" borderId="0" xfId="0" applyFont="1" applyFill="1" applyBorder="1" applyAlignment="1">
      <alignment vertical="center" wrapText="1"/>
    </xf>
    <xf numFmtId="183" fontId="24" fillId="0" borderId="0" xfId="0" applyFont="1" applyFill="1" applyBorder="1" applyAlignment="1">
      <alignment vertical="center"/>
    </xf>
    <xf numFmtId="183" fontId="40" fillId="0" borderId="0" xfId="0" applyFont="1" applyFill="1" applyBorder="1" applyAlignment="1">
      <alignment horizontal="center" vertical="center"/>
    </xf>
    <xf numFmtId="183" fontId="40" fillId="0" borderId="0" xfId="0" applyFont="1" applyFill="1" applyBorder="1" applyAlignment="1">
      <alignment horizontal="justify" vertical="center"/>
    </xf>
    <xf numFmtId="178" fontId="0" fillId="0" borderId="0" xfId="0" applyNumberFormat="1">
      <alignment vertical="center"/>
    </xf>
    <xf numFmtId="183" fontId="42" fillId="0" borderId="1" xfId="0" applyFont="1" applyFill="1" applyBorder="1" applyAlignment="1">
      <alignment horizontal="center" vertical="center"/>
    </xf>
    <xf numFmtId="183" fontId="42" fillId="0" borderId="1" xfId="0" applyFont="1" applyFill="1" applyBorder="1" applyAlignment="1">
      <alignment horizontal="center" vertical="center" wrapText="1"/>
    </xf>
    <xf numFmtId="185" fontId="42" fillId="0" borderId="1" xfId="0" applyNumberFormat="1" applyFont="1" applyFill="1" applyBorder="1" applyAlignment="1">
      <alignment horizontal="center" vertical="center"/>
    </xf>
    <xf numFmtId="189" fontId="42" fillId="0" borderId="1" xfId="0" applyNumberFormat="1" applyFont="1" applyFill="1" applyBorder="1" applyAlignment="1">
      <alignment horizontal="center" vertical="center"/>
    </xf>
    <xf numFmtId="183" fontId="42" fillId="0" borderId="13" xfId="0" applyFont="1" applyFill="1" applyBorder="1" applyAlignment="1">
      <alignment horizontal="center" vertical="center"/>
    </xf>
    <xf numFmtId="178" fontId="42" fillId="0" borderId="1" xfId="0" applyNumberFormat="1" applyFont="1" applyFill="1" applyBorder="1" applyAlignment="1">
      <alignment horizontal="center" vertical="center"/>
    </xf>
    <xf numFmtId="178" fontId="42" fillId="5" borderId="1" xfId="0" applyNumberFormat="1" applyFont="1" applyFill="1" applyBorder="1" applyAlignment="1">
      <alignment horizontal="center" vertical="center"/>
    </xf>
    <xf numFmtId="178" fontId="0" fillId="0" borderId="1" xfId="0" applyNumberFormat="1" applyBorder="1">
      <alignment vertical="center"/>
    </xf>
    <xf numFmtId="183" fontId="45" fillId="0" borderId="1" xfId="0" applyFont="1" applyFill="1" applyBorder="1" applyAlignment="1">
      <alignment horizontal="center" vertical="center" wrapText="1"/>
    </xf>
    <xf numFmtId="178" fontId="45" fillId="0" borderId="1" xfId="0" applyNumberFormat="1" applyFont="1" applyFill="1" applyBorder="1" applyAlignment="1">
      <alignment horizontal="center" vertical="center" wrapText="1"/>
    </xf>
    <xf numFmtId="180" fontId="46" fillId="0" borderId="1" xfId="0" applyNumberFormat="1" applyFont="1" applyFill="1" applyBorder="1" applyAlignment="1">
      <alignment horizontal="center" vertical="center"/>
    </xf>
    <xf numFmtId="183" fontId="0" fillId="3" borderId="0" xfId="0" applyFill="1">
      <alignment vertical="center"/>
    </xf>
    <xf numFmtId="178" fontId="40" fillId="0" borderId="1" xfId="0" applyNumberFormat="1" applyFont="1" applyFill="1" applyBorder="1" applyAlignment="1">
      <alignment horizontal="center" vertical="center"/>
    </xf>
    <xf numFmtId="183" fontId="47" fillId="0" borderId="0" xfId="0" applyFont="1" applyAlignment="1">
      <alignment horizontal="center" vertical="center"/>
    </xf>
    <xf numFmtId="183" fontId="47" fillId="0" borderId="0" xfId="0" applyFont="1" applyAlignment="1">
      <alignment horizontal="center" vertical="center" wrapText="1"/>
    </xf>
    <xf numFmtId="183" fontId="48" fillId="0" borderId="1" xfId="0" applyFont="1" applyBorder="1" applyAlignment="1">
      <alignment horizontal="center" vertical="center" wrapText="1"/>
    </xf>
    <xf numFmtId="183" fontId="49" fillId="0" borderId="1" xfId="0" applyFont="1" applyBorder="1" applyAlignment="1">
      <alignment horizontal="center" vertical="center"/>
    </xf>
    <xf numFmtId="183" fontId="49" fillId="0" borderId="1" xfId="0" applyFont="1" applyBorder="1" applyAlignment="1">
      <alignment horizontal="center" vertical="center" wrapText="1"/>
    </xf>
    <xf numFmtId="183" fontId="47" fillId="0" borderId="1" xfId="0" applyFont="1" applyBorder="1" applyAlignment="1">
      <alignment horizontal="center" vertical="center"/>
    </xf>
    <xf numFmtId="183" fontId="47" fillId="0" borderId="1" xfId="0" applyFont="1" applyBorder="1" applyAlignment="1">
      <alignment horizontal="center" vertical="center" wrapText="1"/>
    </xf>
    <xf numFmtId="183" fontId="50" fillId="0" borderId="1" xfId="0" applyFont="1" applyFill="1" applyBorder="1" applyAlignment="1">
      <alignment horizontal="center" vertical="center"/>
    </xf>
    <xf numFmtId="183" fontId="50" fillId="0" borderId="1" xfId="0" applyFont="1" applyFill="1" applyBorder="1" applyAlignment="1">
      <alignment horizontal="center" vertical="center" wrapText="1"/>
    </xf>
    <xf numFmtId="49" fontId="50" fillId="0" borderId="1" xfId="0" applyNumberFormat="1" applyFont="1" applyFill="1" applyBorder="1" applyAlignment="1">
      <alignment horizontal="center" vertical="center"/>
    </xf>
    <xf numFmtId="183" fontId="47" fillId="3" borderId="0" xfId="0" applyFont="1" applyFill="1" applyAlignment="1">
      <alignment horizontal="center" vertical="center"/>
    </xf>
    <xf numFmtId="183" fontId="47" fillId="3" borderId="1" xfId="0" applyFont="1" applyFill="1" applyBorder="1" applyAlignment="1">
      <alignment horizontal="center" vertical="center"/>
    </xf>
    <xf numFmtId="181" fontId="47" fillId="0" borderId="1" xfId="0" applyNumberFormat="1" applyFont="1" applyBorder="1" applyAlignment="1">
      <alignment horizontal="center" vertical="center"/>
    </xf>
    <xf numFmtId="181" fontId="47" fillId="3" borderId="1" xfId="0" applyNumberFormat="1" applyFont="1" applyFill="1" applyBorder="1" applyAlignment="1">
      <alignment horizontal="center" vertical="center"/>
    </xf>
    <xf numFmtId="178" fontId="47" fillId="0" borderId="1" xfId="0" applyNumberFormat="1" applyFont="1" applyBorder="1" applyAlignment="1">
      <alignment horizontal="center" vertical="center"/>
    </xf>
    <xf numFmtId="183" fontId="51" fillId="5" borderId="0" xfId="0" applyFont="1" applyFill="1">
      <alignment vertical="center"/>
    </xf>
    <xf numFmtId="183" fontId="51" fillId="8" borderId="0" xfId="0" applyFont="1" applyFill="1">
      <alignment vertical="center"/>
    </xf>
    <xf numFmtId="183" fontId="51" fillId="0" borderId="0" xfId="0" applyFont="1">
      <alignment vertical="center"/>
    </xf>
    <xf numFmtId="183" fontId="51" fillId="0" borderId="0" xfId="0" applyFont="1" applyAlignment="1">
      <alignment horizontal="center" vertical="center"/>
    </xf>
    <xf numFmtId="178" fontId="51" fillId="0" borderId="0" xfId="0" applyNumberFormat="1" applyFont="1" applyAlignment="1">
      <alignment horizontal="center" vertical="center"/>
    </xf>
    <xf numFmtId="183" fontId="52" fillId="3" borderId="1" xfId="0" applyFont="1" applyFill="1" applyBorder="1" applyAlignment="1">
      <alignment horizontal="center" vertical="center"/>
    </xf>
    <xf numFmtId="183" fontId="52" fillId="0" borderId="1" xfId="0" applyFont="1" applyFill="1" applyBorder="1" applyAlignment="1">
      <alignment horizontal="center" vertical="center"/>
    </xf>
    <xf numFmtId="178" fontId="52" fillId="0" borderId="1" xfId="0" applyNumberFormat="1" applyFont="1" applyFill="1" applyBorder="1" applyAlignment="1">
      <alignment horizontal="center" vertical="center" wrapText="1"/>
    </xf>
    <xf numFmtId="183" fontId="52" fillId="3" borderId="1" xfId="0" applyFont="1" applyFill="1" applyBorder="1" applyAlignment="1">
      <alignment horizontal="center" vertical="center" wrapText="1"/>
    </xf>
    <xf numFmtId="183" fontId="52" fillId="0" borderId="0" xfId="0" applyFont="1" applyFill="1" applyAlignment="1">
      <alignment horizontal="center" vertical="center"/>
    </xf>
    <xf numFmtId="178" fontId="51" fillId="0" borderId="1" xfId="0" applyNumberFormat="1" applyFont="1" applyBorder="1" applyAlignment="1">
      <alignment horizontal="center" vertical="center"/>
    </xf>
    <xf numFmtId="183" fontId="52" fillId="3" borderId="1" xfId="0" applyFont="1" applyFill="1" applyBorder="1" applyAlignment="1">
      <alignment horizontal="center" wrapText="1"/>
    </xf>
    <xf numFmtId="1" fontId="52" fillId="3" borderId="1" xfId="0" applyNumberFormat="1" applyFont="1" applyFill="1" applyBorder="1" applyAlignment="1">
      <alignment horizontal="center" vertical="center"/>
    </xf>
    <xf numFmtId="192" fontId="52" fillId="3" borderId="1" xfId="0" applyNumberFormat="1" applyFont="1" applyFill="1" applyBorder="1" applyAlignment="1">
      <alignment horizontal="center" vertical="center"/>
    </xf>
    <xf numFmtId="183" fontId="52" fillId="3" borderId="1" xfId="0" applyFont="1" applyFill="1" applyBorder="1" applyAlignment="1">
      <alignment horizontal="left" vertical="top"/>
    </xf>
    <xf numFmtId="183" fontId="52" fillId="0" borderId="0" xfId="0" applyFont="1" applyFill="1" applyAlignment="1">
      <alignment horizontal="left" vertical="top"/>
    </xf>
    <xf numFmtId="177" fontId="52" fillId="3" borderId="1" xfId="0" applyNumberFormat="1" applyFont="1" applyFill="1" applyBorder="1" applyAlignment="1">
      <alignment horizontal="center" vertical="center"/>
    </xf>
    <xf numFmtId="183" fontId="52" fillId="5" borderId="0" xfId="0" applyFont="1" applyFill="1" applyAlignment="1">
      <alignment horizontal="left" vertical="top"/>
    </xf>
    <xf numFmtId="178" fontId="51" fillId="5" borderId="1" xfId="0" applyNumberFormat="1" applyFont="1" applyFill="1" applyBorder="1" applyAlignment="1">
      <alignment horizontal="center" vertical="center"/>
    </xf>
    <xf numFmtId="183" fontId="51" fillId="3" borderId="1" xfId="0" applyFont="1" applyFill="1" applyBorder="1" applyAlignment="1">
      <alignment horizontal="center" vertical="center"/>
    </xf>
    <xf numFmtId="183" fontId="51" fillId="3" borderId="1" xfId="0" applyFont="1" applyFill="1" applyBorder="1">
      <alignment vertical="center"/>
    </xf>
    <xf numFmtId="178" fontId="51" fillId="8" borderId="1" xfId="0" applyNumberFormat="1" applyFont="1" applyFill="1" applyBorder="1" applyAlignment="1">
      <alignment horizontal="center" vertical="center"/>
    </xf>
    <xf numFmtId="178" fontId="53" fillId="0" borderId="1" xfId="0" applyNumberFormat="1" applyFont="1" applyBorder="1" applyAlignment="1">
      <alignment horizontal="center" vertical="center"/>
    </xf>
    <xf numFmtId="178" fontId="51" fillId="0" borderId="5" xfId="0" applyNumberFormat="1" applyFont="1" applyBorder="1" applyAlignment="1">
      <alignment horizontal="center" vertical="center"/>
    </xf>
    <xf numFmtId="183" fontId="53" fillId="0" borderId="1" xfId="0" applyFont="1" applyBorder="1">
      <alignment vertical="center"/>
    </xf>
    <xf numFmtId="178" fontId="52" fillId="0" borderId="1" xfId="0" applyNumberFormat="1" applyFont="1" applyFill="1" applyBorder="1" applyAlignment="1">
      <alignment horizontal="center" wrapText="1"/>
    </xf>
    <xf numFmtId="183" fontId="0" fillId="0" borderId="0" xfId="0" applyAlignment="1">
      <alignment vertical="center" wrapText="1"/>
    </xf>
    <xf numFmtId="183" fontId="0" fillId="0" borderId="0" xfId="0" applyAlignment="1">
      <alignment horizontal="center" vertical="center" wrapText="1"/>
    </xf>
    <xf numFmtId="183" fontId="0" fillId="0" borderId="1" xfId="0" applyBorder="1" applyAlignment="1">
      <alignment horizontal="center" vertical="center" wrapText="1"/>
    </xf>
    <xf numFmtId="186" fontId="0" fillId="0" borderId="1" xfId="0" applyNumberFormat="1" applyBorder="1" applyAlignment="1">
      <alignment horizontal="center" vertical="center" wrapText="1"/>
    </xf>
    <xf numFmtId="183" fontId="0" fillId="0" borderId="1" xfId="0" applyBorder="1" applyAlignment="1">
      <alignment vertical="center" wrapText="1"/>
    </xf>
    <xf numFmtId="178" fontId="0" fillId="0" borderId="0" xfId="0" applyNumberFormat="1" applyAlignment="1">
      <alignment horizontal="center" vertical="center"/>
    </xf>
    <xf numFmtId="183" fontId="0" fillId="0" borderId="1" xfId="0" applyBorder="1" applyAlignment="1">
      <alignment horizontal="center" vertical="center"/>
    </xf>
    <xf numFmtId="178" fontId="0" fillId="0" borderId="1" xfId="0" applyNumberFormat="1" applyBorder="1" applyAlignment="1">
      <alignment horizontal="center" vertical="center"/>
    </xf>
    <xf numFmtId="178" fontId="0" fillId="3" borderId="1" xfId="0" applyNumberFormat="1" applyFill="1" applyBorder="1" applyAlignment="1">
      <alignment horizontal="center" vertical="center"/>
    </xf>
    <xf numFmtId="178" fontId="38" fillId="0" borderId="0" xfId="0" applyNumberFormat="1" applyFont="1" applyAlignment="1">
      <alignment horizontal="center" vertical="center"/>
    </xf>
    <xf numFmtId="183" fontId="54" fillId="0" borderId="1" xfId="0" applyFont="1" applyFill="1" applyBorder="1" applyAlignment="1">
      <alignment horizontal="center" vertical="center" wrapText="1"/>
    </xf>
    <xf numFmtId="178" fontId="54" fillId="0" borderId="1" xfId="0" applyNumberFormat="1" applyFont="1" applyFill="1" applyBorder="1" applyAlignment="1">
      <alignment horizontal="center" vertical="center"/>
    </xf>
    <xf numFmtId="183" fontId="54" fillId="0" borderId="1" xfId="0" applyFont="1" applyFill="1" applyBorder="1" applyAlignment="1">
      <alignment horizontal="center" vertical="center"/>
    </xf>
    <xf numFmtId="2" fontId="54" fillId="0" borderId="1" xfId="0" applyNumberFormat="1" applyFont="1" applyFill="1" applyBorder="1" applyAlignment="1">
      <alignment horizontal="center" vertical="center"/>
    </xf>
    <xf numFmtId="178" fontId="38" fillId="0" borderId="1" xfId="0" applyNumberFormat="1" applyFont="1" applyBorder="1" applyAlignment="1">
      <alignment horizontal="center" vertical="center"/>
    </xf>
    <xf numFmtId="1" fontId="54" fillId="0" borderId="1" xfId="0" applyNumberFormat="1" applyFont="1" applyFill="1" applyBorder="1" applyAlignment="1">
      <alignment horizontal="center" vertical="center"/>
    </xf>
    <xf numFmtId="183" fontId="54" fillId="0" borderId="1" xfId="0" applyFont="1" applyFill="1" applyBorder="1" applyAlignment="1">
      <alignment horizontal="center"/>
    </xf>
    <xf numFmtId="191" fontId="54" fillId="0" borderId="1" xfId="0" applyNumberFormat="1" applyFont="1" applyFill="1" applyBorder="1" applyAlignment="1">
      <alignment horizontal="center" vertical="center"/>
    </xf>
    <xf numFmtId="178" fontId="54" fillId="0" borderId="1" xfId="0" applyNumberFormat="1" applyFont="1" applyFill="1" applyBorder="1" applyAlignment="1">
      <alignment horizontal="center" vertical="top"/>
    </xf>
    <xf numFmtId="183" fontId="55" fillId="9" borderId="1" xfId="0" applyFont="1" applyFill="1" applyBorder="1" applyAlignment="1">
      <alignment horizontal="center" vertical="center"/>
    </xf>
    <xf numFmtId="186" fontId="55" fillId="9" borderId="1" xfId="0" applyNumberFormat="1" applyFont="1" applyFill="1" applyBorder="1" applyAlignment="1">
      <alignment horizontal="center" vertical="center"/>
    </xf>
    <xf numFmtId="183" fontId="55" fillId="9" borderId="1" xfId="0" applyNumberFormat="1" applyFont="1" applyFill="1" applyBorder="1" applyAlignment="1">
      <alignment horizontal="center" vertical="center"/>
    </xf>
    <xf numFmtId="183" fontId="56" fillId="9" borderId="1" xfId="0" applyFont="1" applyFill="1" applyBorder="1" applyAlignment="1">
      <alignment horizontal="center" vertical="center"/>
    </xf>
    <xf numFmtId="183" fontId="55" fillId="0" borderId="1" xfId="0" applyFont="1" applyFill="1" applyBorder="1" applyAlignment="1">
      <alignment horizontal="center" vertical="center"/>
    </xf>
    <xf numFmtId="183" fontId="55" fillId="10" borderId="1" xfId="0" applyFont="1" applyFill="1" applyBorder="1" applyAlignment="1">
      <alignment horizontal="center" vertical="center"/>
    </xf>
    <xf numFmtId="179" fontId="55" fillId="11" borderId="1" xfId="0" applyNumberFormat="1" applyFont="1" applyFill="1" applyBorder="1" applyAlignment="1">
      <alignment horizontal="center" vertical="center"/>
    </xf>
    <xf numFmtId="183" fontId="55" fillId="3" borderId="1" xfId="0" applyNumberFormat="1" applyFont="1" applyFill="1" applyBorder="1" applyAlignment="1">
      <alignment horizontal="center" vertical="center"/>
    </xf>
    <xf numFmtId="179" fontId="55" fillId="12" borderId="1" xfId="0" applyNumberFormat="1" applyFont="1" applyFill="1" applyBorder="1" applyAlignment="1">
      <alignment horizontal="center" vertical="center"/>
    </xf>
    <xf numFmtId="183" fontId="56" fillId="3" borderId="1" xfId="0" applyFont="1" applyFill="1" applyBorder="1" applyAlignment="1">
      <alignment horizontal="center" vertical="center"/>
    </xf>
    <xf numFmtId="183" fontId="24" fillId="3" borderId="1" xfId="0" applyNumberFormat="1" applyFont="1" applyFill="1" applyBorder="1" applyAlignment="1">
      <alignment horizontal="center" vertical="center"/>
    </xf>
    <xf numFmtId="186" fontId="55" fillId="3" borderId="1" xfId="0" applyNumberFormat="1" applyFont="1" applyFill="1" applyBorder="1" applyAlignment="1">
      <alignment horizontal="center" vertical="center"/>
    </xf>
    <xf numFmtId="183" fontId="56" fillId="3" borderId="0" xfId="0" applyFont="1" applyFill="1" applyAlignment="1">
      <alignment horizontal="center" vertical="center"/>
    </xf>
    <xf numFmtId="178" fontId="54" fillId="0" borderId="0" xfId="0" applyNumberFormat="1" applyFont="1" applyFill="1" applyBorder="1" applyAlignment="1">
      <alignment horizontal="center" vertical="center"/>
    </xf>
    <xf numFmtId="178" fontId="0" fillId="0" borderId="0" xfId="0" applyNumberFormat="1" applyBorder="1" applyAlignment="1">
      <alignment horizontal="center" vertical="center"/>
    </xf>
    <xf numFmtId="178" fontId="57" fillId="0" borderId="1" xfId="0" applyNumberFormat="1" applyFont="1" applyFill="1" applyBorder="1" applyAlignment="1">
      <alignment horizontal="center" vertical="center"/>
    </xf>
    <xf numFmtId="178" fontId="58" fillId="0" borderId="1" xfId="0" applyNumberFormat="1" applyFont="1" applyBorder="1" applyAlignment="1">
      <alignment horizontal="center" vertical="center"/>
    </xf>
    <xf numFmtId="183" fontId="28" fillId="0" borderId="0" xfId="0" applyFont="1">
      <alignment vertical="center"/>
    </xf>
    <xf numFmtId="9" fontId="28" fillId="0" borderId="0" xfId="3" applyFont="1" applyAlignment="1">
      <alignment horizontal="center" vertical="center"/>
    </xf>
    <xf numFmtId="9" fontId="28" fillId="0" borderId="1" xfId="3" applyFont="1" applyBorder="1" applyAlignment="1">
      <alignment horizontal="center" vertical="center"/>
    </xf>
    <xf numFmtId="183" fontId="28" fillId="0" borderId="1" xfId="0" applyFont="1" applyBorder="1" applyAlignment="1">
      <alignment horizontal="center" vertical="center"/>
    </xf>
    <xf numFmtId="186" fontId="28" fillId="0" borderId="1" xfId="0" applyNumberFormat="1" applyFont="1" applyBorder="1" applyAlignment="1">
      <alignment horizontal="center" vertical="center"/>
    </xf>
    <xf numFmtId="9" fontId="28" fillId="0" borderId="1" xfId="3" applyNumberFormat="1" applyFont="1" applyBorder="1" applyAlignment="1">
      <alignment horizontal="center" vertical="center"/>
    </xf>
    <xf numFmtId="183" fontId="59" fillId="0" borderId="0" xfId="0" applyFont="1">
      <alignment vertical="center"/>
    </xf>
    <xf numFmtId="183" fontId="59" fillId="0" borderId="0" xfId="0" applyFont="1" applyAlignment="1">
      <alignment horizontal="center" vertical="center"/>
    </xf>
    <xf numFmtId="183" fontId="60" fillId="0" borderId="1" xfId="0" applyFont="1" applyFill="1" applyBorder="1" applyAlignment="1">
      <alignment horizontal="center" vertical="center"/>
    </xf>
    <xf numFmtId="183" fontId="59" fillId="0" borderId="1" xfId="0" applyFont="1" applyBorder="1" applyAlignment="1">
      <alignment horizontal="center" vertical="center"/>
    </xf>
    <xf numFmtId="2" fontId="24" fillId="0" borderId="1" xfId="0" applyNumberFormat="1" applyFont="1" applyFill="1" applyBorder="1" applyAlignment="1">
      <alignment horizontal="center" vertical="center"/>
    </xf>
    <xf numFmtId="186" fontId="59" fillId="0" borderId="1" xfId="0" applyNumberFormat="1" applyFont="1" applyBorder="1" applyAlignment="1">
      <alignment horizontal="center" vertical="center"/>
    </xf>
    <xf numFmtId="191" fontId="24" fillId="0" borderId="1" xfId="0" applyNumberFormat="1" applyFont="1" applyFill="1" applyBorder="1" applyAlignment="1">
      <alignment horizontal="center" vertical="center"/>
    </xf>
    <xf numFmtId="181" fontId="24" fillId="0" borderId="1" xfId="0" applyNumberFormat="1" applyFont="1" applyFill="1" applyBorder="1" applyAlignment="1">
      <alignment horizontal="center" vertical="center" wrapText="1"/>
    </xf>
    <xf numFmtId="181" fontId="24" fillId="0" borderId="1" xfId="0" applyNumberFormat="1" applyFont="1" applyFill="1" applyBorder="1" applyAlignment="1">
      <alignment horizontal="center" vertical="center"/>
    </xf>
    <xf numFmtId="183" fontId="24" fillId="0" borderId="20" xfId="0" applyFont="1" applyFill="1" applyBorder="1" applyAlignment="1">
      <alignment horizontal="center" vertical="center"/>
    </xf>
    <xf numFmtId="181" fontId="59" fillId="0" borderId="1" xfId="0" applyNumberFormat="1" applyFont="1" applyBorder="1" applyAlignment="1">
      <alignment horizontal="center" vertical="center"/>
    </xf>
    <xf numFmtId="183" fontId="61" fillId="0" borderId="1" xfId="0" applyFont="1" applyFill="1" applyBorder="1" applyAlignment="1">
      <alignment horizontal="center" vertical="center" wrapText="1"/>
    </xf>
    <xf numFmtId="183" fontId="62" fillId="0" borderId="1" xfId="0" applyFont="1" applyFill="1" applyBorder="1" applyAlignment="1">
      <alignment horizontal="center"/>
    </xf>
    <xf numFmtId="183" fontId="62" fillId="0" borderId="1" xfId="0" applyFont="1" applyFill="1" applyBorder="1" applyAlignment="1">
      <alignment horizontal="center" wrapText="1"/>
    </xf>
    <xf numFmtId="183" fontId="63" fillId="0" borderId="1" xfId="0" applyFont="1" applyFill="1" applyBorder="1" applyAlignment="1">
      <alignment horizontal="center"/>
    </xf>
    <xf numFmtId="183" fontId="64" fillId="0" borderId="1" xfId="0" applyFont="1" applyFill="1" applyBorder="1" applyAlignment="1">
      <alignment horizontal="center"/>
    </xf>
    <xf numFmtId="2" fontId="64" fillId="0" borderId="1" xfId="0" applyNumberFormat="1" applyFont="1" applyFill="1" applyBorder="1" applyAlignment="1">
      <alignment horizontal="center"/>
    </xf>
    <xf numFmtId="191" fontId="64" fillId="0" borderId="1" xfId="0" applyNumberFormat="1" applyFont="1" applyFill="1" applyBorder="1" applyAlignment="1">
      <alignment horizontal="center"/>
    </xf>
    <xf numFmtId="183" fontId="63" fillId="0" borderId="1" xfId="0" applyFont="1" applyFill="1" applyBorder="1" applyAlignment="1">
      <alignment horizontal="center" vertical="top"/>
    </xf>
    <xf numFmtId="183" fontId="64" fillId="0" borderId="1" xfId="0" applyFont="1" applyFill="1" applyBorder="1" applyAlignment="1">
      <alignment horizontal="center" vertical="top"/>
    </xf>
    <xf numFmtId="2" fontId="64" fillId="0" borderId="1" xfId="0" applyNumberFormat="1" applyFont="1" applyFill="1" applyBorder="1" applyAlignment="1">
      <alignment horizontal="center" vertical="top"/>
    </xf>
    <xf numFmtId="183" fontId="63" fillId="0" borderId="1" xfId="0" applyFont="1" applyFill="1" applyBorder="1" applyAlignment="1">
      <alignment horizontal="center" vertical="center"/>
    </xf>
    <xf numFmtId="183" fontId="64" fillId="0" borderId="1" xfId="0" applyFont="1" applyFill="1" applyBorder="1" applyAlignment="1">
      <alignment horizontal="center" vertical="center"/>
    </xf>
    <xf numFmtId="183" fontId="64" fillId="0" borderId="1" xfId="0" applyFont="1" applyFill="1" applyBorder="1" applyAlignment="1">
      <alignment horizontal="center" vertical="top" wrapText="1"/>
    </xf>
    <xf numFmtId="2" fontId="64" fillId="0" borderId="1" xfId="0" applyNumberFormat="1" applyFont="1" applyFill="1" applyBorder="1" applyAlignment="1">
      <alignment horizontal="center" vertical="center"/>
    </xf>
    <xf numFmtId="183" fontId="64" fillId="0" borderId="1" xfId="0" applyFont="1" applyFill="1" applyBorder="1" applyAlignment="1">
      <alignment horizontal="center" wrapText="1"/>
    </xf>
    <xf numFmtId="191" fontId="64" fillId="0" borderId="1" xfId="0" applyNumberFormat="1" applyFont="1" applyFill="1" applyBorder="1" applyAlignment="1">
      <alignment horizontal="center" vertical="top"/>
    </xf>
    <xf numFmtId="183" fontId="0" fillId="0" borderId="0" xfId="0" applyBorder="1">
      <alignment vertical="center"/>
    </xf>
    <xf numFmtId="183" fontId="0" fillId="0" borderId="1" xfId="0" applyBorder="1">
      <alignment vertical="center"/>
    </xf>
    <xf numFmtId="183" fontId="0" fillId="0" borderId="0" xfId="0" applyBorder="1" applyAlignment="1">
      <alignment vertical="center" wrapText="1"/>
    </xf>
    <xf numFmtId="183" fontId="65" fillId="0" borderId="0" xfId="0" applyFont="1" applyFill="1" applyAlignment="1"/>
    <xf numFmtId="183" fontId="65" fillId="0" borderId="1" xfId="0" applyFont="1" applyFill="1" applyBorder="1" applyAlignment="1"/>
    <xf numFmtId="193" fontId="68" fillId="0" borderId="0" xfId="0" applyNumberFormat="1" applyFont="1" applyFill="1" applyAlignment="1"/>
    <xf numFmtId="184" fontId="69" fillId="0" borderId="0" xfId="1" applyNumberFormat="1" applyFont="1" applyAlignment="1">
      <alignment horizontal="center"/>
    </xf>
    <xf numFmtId="184" fontId="70" fillId="0" borderId="0" xfId="1" applyNumberFormat="1" applyFont="1" applyAlignment="1"/>
    <xf numFmtId="182" fontId="70" fillId="0" borderId="1" xfId="0" applyNumberFormat="1" applyFont="1" applyFill="1" applyBorder="1" applyAlignment="1"/>
    <xf numFmtId="183" fontId="71" fillId="13" borderId="5" xfId="0" applyFont="1" applyFill="1" applyBorder="1" applyAlignment="1"/>
    <xf numFmtId="183" fontId="72" fillId="13" borderId="5" xfId="0" applyFont="1" applyFill="1" applyBorder="1" applyAlignment="1"/>
    <xf numFmtId="183" fontId="73" fillId="13" borderId="5" xfId="0" applyFont="1" applyFill="1" applyBorder="1" applyAlignment="1"/>
    <xf numFmtId="184" fontId="72" fillId="13" borderId="5" xfId="1" applyNumberFormat="1" applyFont="1" applyFill="1" applyBorder="1" applyAlignment="1">
      <alignment wrapText="1"/>
    </xf>
    <xf numFmtId="184" fontId="72" fillId="13" borderId="5" xfId="1" applyNumberFormat="1" applyFont="1" applyFill="1" applyBorder="1" applyAlignment="1">
      <alignment horizontal="left" vertical="center" wrapText="1"/>
    </xf>
    <xf numFmtId="193" fontId="72" fillId="13" borderId="5" xfId="1" applyNumberFormat="1" applyFont="1" applyFill="1" applyBorder="1" applyAlignment="1">
      <alignment horizontal="right" wrapText="1"/>
    </xf>
    <xf numFmtId="182" fontId="68" fillId="0" borderId="1" xfId="0" applyNumberFormat="1" applyFont="1" applyFill="1" applyBorder="1" applyAlignment="1">
      <alignment vertical="center"/>
    </xf>
    <xf numFmtId="183" fontId="68" fillId="0" borderId="1" xfId="0" applyFont="1" applyFill="1" applyBorder="1" applyAlignment="1">
      <alignment vertical="center"/>
    </xf>
    <xf numFmtId="183" fontId="74" fillId="0" borderId="1" xfId="0" applyFont="1" applyFill="1" applyBorder="1" applyAlignment="1">
      <alignment vertical="center" wrapText="1"/>
    </xf>
    <xf numFmtId="183" fontId="75" fillId="0" borderId="1" xfId="0" applyFont="1" applyFill="1" applyBorder="1" applyAlignment="1"/>
    <xf numFmtId="184" fontId="68" fillId="0" borderId="1" xfId="1" applyNumberFormat="1" applyFont="1" applyFill="1" applyBorder="1" applyAlignment="1">
      <alignment horizontal="left"/>
    </xf>
    <xf numFmtId="188" fontId="68" fillId="0" borderId="1" xfId="1" applyNumberFormat="1" applyFont="1" applyFill="1" applyBorder="1" applyAlignment="1">
      <alignment horizontal="left"/>
    </xf>
    <xf numFmtId="187" fontId="68" fillId="0" borderId="1" xfId="1" applyNumberFormat="1" applyFont="1" applyFill="1" applyBorder="1" applyAlignment="1">
      <alignment horizontal="left"/>
    </xf>
    <xf numFmtId="193" fontId="68" fillId="0" borderId="1" xfId="1" applyNumberFormat="1" applyFont="1" applyFill="1" applyBorder="1" applyAlignment="1">
      <alignment horizontal="right"/>
    </xf>
    <xf numFmtId="183" fontId="75" fillId="0" borderId="1" xfId="0" applyFont="1" applyFill="1" applyBorder="1" applyAlignment="1">
      <alignment wrapText="1"/>
    </xf>
    <xf numFmtId="193" fontId="68" fillId="3" borderId="1" xfId="1" applyNumberFormat="1" applyFont="1" applyFill="1" applyBorder="1" applyAlignment="1">
      <alignment horizontal="right"/>
    </xf>
    <xf numFmtId="183" fontId="68" fillId="0" borderId="1" xfId="0" applyFont="1" applyFill="1" applyBorder="1" applyAlignment="1"/>
    <xf numFmtId="193" fontId="70" fillId="4" borderId="1" xfId="1" applyNumberFormat="1" applyFont="1" applyFill="1" applyBorder="1" applyAlignment="1">
      <alignment horizontal="right"/>
    </xf>
    <xf numFmtId="183" fontId="65" fillId="0" borderId="0" xfId="0" applyFont="1" applyFill="1" applyAlignment="1">
      <alignment vertical="center" wrapText="1"/>
    </xf>
    <xf numFmtId="178" fontId="65" fillId="0" borderId="0" xfId="0" applyNumberFormat="1" applyFont="1" applyFill="1" applyAlignment="1"/>
    <xf numFmtId="183" fontId="65" fillId="3" borderId="0" xfId="0" applyFont="1" applyFill="1" applyAlignment="1"/>
    <xf numFmtId="183" fontId="65" fillId="4" borderId="0" xfId="0" applyFont="1" applyFill="1" applyAlignment="1"/>
    <xf numFmtId="193" fontId="76" fillId="13" borderId="5" xfId="1" applyNumberFormat="1" applyFont="1" applyFill="1" applyBorder="1" applyAlignment="1">
      <alignment horizontal="right" wrapText="1"/>
    </xf>
    <xf numFmtId="183" fontId="68" fillId="0" borderId="1" xfId="1" applyNumberFormat="1" applyFont="1" applyFill="1" applyBorder="1" applyAlignment="1">
      <alignment horizontal="right"/>
    </xf>
    <xf numFmtId="193" fontId="77" fillId="3" borderId="1" xfId="1" applyNumberFormat="1" applyFont="1" applyFill="1" applyBorder="1" applyAlignment="1">
      <alignment horizontal="right"/>
    </xf>
    <xf numFmtId="183" fontId="0" fillId="5" borderId="1" xfId="0" applyFill="1" applyBorder="1" applyAlignment="1">
      <alignment vertical="center" wrapText="1"/>
    </xf>
    <xf numFmtId="183" fontId="0" fillId="5" borderId="1" xfId="0" applyFill="1" applyBorder="1" applyAlignment="1">
      <alignment vertical="center"/>
    </xf>
    <xf numFmtId="178" fontId="0" fillId="5" borderId="1" xfId="0" applyNumberFormat="1" applyFill="1" applyBorder="1" applyAlignment="1">
      <alignment horizontal="center" vertical="center"/>
    </xf>
    <xf numFmtId="178" fontId="0" fillId="5" borderId="1" xfId="0" applyNumberFormat="1" applyFill="1" applyBorder="1" applyAlignment="1">
      <alignment horizontal="center" vertical="center" wrapText="1"/>
    </xf>
    <xf numFmtId="190" fontId="38" fillId="5" borderId="0" xfId="0" applyNumberFormat="1" applyFont="1" applyFill="1" applyBorder="1" applyAlignment="1"/>
    <xf numFmtId="183" fontId="38" fillId="5" borderId="1" xfId="0" applyFont="1" applyFill="1" applyBorder="1" applyAlignment="1">
      <alignment horizontal="center" vertical="center"/>
    </xf>
    <xf numFmtId="183" fontId="38" fillId="0" borderId="1" xfId="0" applyFont="1" applyFill="1" applyBorder="1" applyAlignment="1">
      <alignment vertical="center" wrapText="1"/>
    </xf>
    <xf numFmtId="183" fontId="38" fillId="5" borderId="1" xfId="0" applyFont="1" applyFill="1" applyBorder="1" applyAlignment="1">
      <alignment vertical="center" wrapText="1"/>
    </xf>
    <xf numFmtId="183" fontId="38" fillId="5" borderId="1" xfId="0" applyFont="1" applyFill="1" applyBorder="1" applyAlignment="1">
      <alignment vertical="center"/>
    </xf>
    <xf numFmtId="183" fontId="38" fillId="5" borderId="1" xfId="0" applyFont="1" applyFill="1" applyBorder="1" applyAlignment="1">
      <alignment horizontal="left" vertical="center"/>
    </xf>
    <xf numFmtId="183" fontId="38" fillId="0" borderId="1" xfId="0" applyFont="1" applyFill="1" applyBorder="1" applyAlignment="1">
      <alignment horizontal="left" vertical="center" wrapText="1"/>
    </xf>
    <xf numFmtId="183" fontId="38" fillId="0" borderId="1" xfId="0" applyFont="1" applyFill="1" applyBorder="1" applyAlignment="1">
      <alignment vertical="center"/>
    </xf>
    <xf numFmtId="190" fontId="38" fillId="5" borderId="1" xfId="0" applyNumberFormat="1" applyFont="1" applyFill="1" applyBorder="1" applyAlignment="1">
      <alignment horizontal="center" vertical="center" wrapText="1"/>
    </xf>
    <xf numFmtId="183" fontId="38" fillId="5" borderId="1" xfId="0" applyFont="1" applyFill="1" applyBorder="1" applyAlignment="1">
      <alignment horizontal="center" vertical="center" wrapText="1"/>
    </xf>
    <xf numFmtId="190" fontId="38" fillId="5" borderId="1" xfId="0" applyNumberFormat="1" applyFont="1" applyFill="1" applyBorder="1" applyAlignment="1">
      <alignment horizontal="center" vertical="center"/>
    </xf>
    <xf numFmtId="183" fontId="59" fillId="0" borderId="1" xfId="0" applyFont="1" applyFill="1" applyBorder="1" applyAlignment="1">
      <alignment vertical="center"/>
    </xf>
    <xf numFmtId="183" fontId="38" fillId="0" borderId="0" xfId="0" applyFont="1" applyFill="1" applyBorder="1" applyAlignment="1">
      <alignment vertical="center"/>
    </xf>
    <xf numFmtId="183" fontId="38" fillId="0" borderId="0" xfId="0" applyFont="1" applyFill="1" applyBorder="1" applyAlignment="1">
      <alignment horizontal="left" vertical="center"/>
    </xf>
    <xf numFmtId="183" fontId="38" fillId="0" borderId="0" xfId="0" applyFont="1" applyFill="1" applyBorder="1" applyAlignment="1">
      <alignment horizontal="center" vertical="center"/>
    </xf>
    <xf numFmtId="183" fontId="38" fillId="0" borderId="0" xfId="0" applyFont="1" applyFill="1" applyBorder="1" applyAlignment="1">
      <alignment vertical="center" wrapText="1"/>
    </xf>
    <xf numFmtId="190" fontId="38" fillId="0" borderId="0" xfId="0" applyNumberFormat="1" applyFont="1" applyFill="1" applyBorder="1" applyAlignment="1">
      <alignment vertical="center"/>
    </xf>
    <xf numFmtId="190" fontId="38" fillId="0" borderId="0" xfId="0" applyNumberFormat="1" applyFont="1" applyFill="1" applyBorder="1" applyAlignment="1">
      <alignment horizontal="center" vertical="center"/>
    </xf>
    <xf numFmtId="183" fontId="59" fillId="21" borderId="1" xfId="0" applyFont="1" applyFill="1" applyBorder="1" applyAlignment="1">
      <alignment vertical="center" wrapText="1"/>
    </xf>
    <xf numFmtId="183" fontId="59" fillId="0" borderId="1" xfId="0" applyFont="1" applyFill="1" applyBorder="1" applyAlignment="1">
      <alignment vertical="center" wrapText="1"/>
    </xf>
    <xf numFmtId="183" fontId="38" fillId="0" borderId="1" xfId="0" applyFont="1" applyFill="1" applyBorder="1" applyAlignment="1">
      <alignment horizontal="left" vertical="center"/>
    </xf>
    <xf numFmtId="183" fontId="38" fillId="0" borderId="1" xfId="0" applyFont="1" applyFill="1" applyBorder="1" applyAlignment="1">
      <alignment horizontal="center" vertical="center"/>
    </xf>
    <xf numFmtId="183" fontId="38" fillId="0" borderId="5" xfId="0" applyFont="1" applyFill="1" applyBorder="1" applyAlignment="1">
      <alignment horizontal="center" vertical="center"/>
    </xf>
    <xf numFmtId="183" fontId="38" fillId="0" borderId="5" xfId="0" applyFont="1" applyFill="1" applyBorder="1" applyAlignment="1">
      <alignment horizontal="left" vertical="center" wrapText="1"/>
    </xf>
    <xf numFmtId="183" fontId="38" fillId="5" borderId="5" xfId="0" applyFont="1" applyFill="1" applyBorder="1" applyAlignment="1">
      <alignment horizontal="center" vertical="center"/>
    </xf>
    <xf numFmtId="183" fontId="38" fillId="0" borderId="1" xfId="0" applyFont="1" applyFill="1" applyBorder="1" applyAlignment="1">
      <alignment horizontal="center" vertical="center" wrapText="1"/>
    </xf>
    <xf numFmtId="190" fontId="38" fillId="5" borderId="1" xfId="0" applyNumberFormat="1" applyFont="1" applyFill="1" applyBorder="1" applyAlignment="1">
      <alignment vertical="center" wrapText="1"/>
    </xf>
    <xf numFmtId="190" fontId="38" fillId="5" borderId="1" xfId="0" applyNumberFormat="1" applyFont="1" applyFill="1" applyBorder="1" applyAlignment="1">
      <alignment vertical="center"/>
    </xf>
    <xf numFmtId="190" fontId="38" fillId="0" borderId="1" xfId="0" applyNumberFormat="1" applyFont="1" applyFill="1" applyBorder="1" applyAlignment="1">
      <alignment vertical="center"/>
    </xf>
    <xf numFmtId="190" fontId="38" fillId="0" borderId="1" xfId="0" applyNumberFormat="1" applyFont="1" applyFill="1" applyBorder="1" applyAlignment="1">
      <alignment horizontal="left" vertical="center"/>
    </xf>
    <xf numFmtId="190" fontId="38" fillId="0" borderId="5" xfId="0" applyNumberFormat="1" applyFont="1" applyFill="1" applyBorder="1" applyAlignment="1">
      <alignment horizontal="center" vertical="center"/>
    </xf>
    <xf numFmtId="190" fontId="38" fillId="0" borderId="1" xfId="0" applyNumberFormat="1" applyFont="1" applyFill="1" applyBorder="1" applyAlignment="1">
      <alignment vertical="center" wrapText="1"/>
    </xf>
    <xf numFmtId="190" fontId="38" fillId="0" borderId="1" xfId="0" applyNumberFormat="1" applyFont="1" applyFill="1" applyBorder="1" applyAlignment="1">
      <alignment horizontal="center" vertical="center" wrapText="1"/>
    </xf>
    <xf numFmtId="183" fontId="38" fillId="5" borderId="1" xfId="0" applyFont="1" applyFill="1" applyBorder="1" applyAlignment="1">
      <alignment horizontal="left" vertical="center" wrapText="1"/>
    </xf>
    <xf numFmtId="178" fontId="38" fillId="0" borderId="1" xfId="0" applyNumberFormat="1" applyFont="1" applyBorder="1" applyAlignment="1">
      <alignment horizontal="center" vertical="center" wrapText="1"/>
    </xf>
    <xf numFmtId="190" fontId="38" fillId="0" borderId="1" xfId="0" applyNumberFormat="1" applyFont="1" applyFill="1" applyBorder="1" applyAlignment="1">
      <alignment horizontal="center" vertical="center"/>
    </xf>
    <xf numFmtId="183" fontId="38" fillId="0" borderId="5" xfId="0" applyFont="1" applyFill="1" applyBorder="1" applyAlignment="1">
      <alignment horizontal="center" vertical="center" wrapText="1"/>
    </xf>
    <xf numFmtId="178" fontId="38" fillId="0" borderId="1" xfId="0" applyNumberFormat="1" applyFont="1" applyFill="1" applyBorder="1" applyAlignment="1">
      <alignment horizontal="center" vertical="center"/>
    </xf>
    <xf numFmtId="183" fontId="38" fillId="5" borderId="13" xfId="0" applyFont="1" applyFill="1" applyBorder="1" applyAlignment="1">
      <alignment vertical="center"/>
    </xf>
    <xf numFmtId="183" fontId="38" fillId="0" borderId="13" xfId="0" applyFont="1" applyFill="1" applyBorder="1" applyAlignment="1">
      <alignment vertical="center"/>
    </xf>
    <xf numFmtId="183" fontId="0" fillId="21" borderId="1" xfId="0" applyFill="1" applyBorder="1" applyAlignment="1">
      <alignment horizontal="center" vertical="center"/>
    </xf>
    <xf numFmtId="183" fontId="0" fillId="0" borderId="1" xfId="0" applyFill="1" applyBorder="1" applyAlignment="1"/>
    <xf numFmtId="183" fontId="0" fillId="22" borderId="1" xfId="0" applyFill="1" applyBorder="1" applyAlignment="1">
      <alignment horizontal="center" vertical="top" wrapText="1"/>
    </xf>
    <xf numFmtId="183" fontId="0" fillId="0" borderId="5" xfId="0" applyFill="1" applyBorder="1" applyAlignment="1">
      <alignment vertical="top" wrapText="1"/>
    </xf>
    <xf numFmtId="183" fontId="0" fillId="0" borderId="1" xfId="0" applyFill="1" applyBorder="1" applyAlignment="1">
      <alignment vertical="top" wrapText="1"/>
    </xf>
    <xf numFmtId="183" fontId="0" fillId="22" borderId="1" xfId="0" applyFill="1" applyBorder="1" applyAlignment="1"/>
    <xf numFmtId="183" fontId="0" fillId="0" borderId="1" xfId="0" applyFont="1" applyFill="1" applyBorder="1" applyAlignment="1">
      <alignment vertical="top" wrapText="1"/>
    </xf>
    <xf numFmtId="183" fontId="0" fillId="26" borderId="1" xfId="0" applyFill="1" applyBorder="1" applyAlignment="1">
      <alignment horizontal="center" vertical="center"/>
    </xf>
    <xf numFmtId="183" fontId="0" fillId="26" borderId="1" xfId="0" applyFont="1" applyFill="1" applyBorder="1" applyAlignment="1">
      <alignment horizontal="center" vertical="center" wrapText="1"/>
    </xf>
    <xf numFmtId="183" fontId="0" fillId="15" borderId="1" xfId="0" applyFont="1" applyFill="1" applyBorder="1" applyAlignment="1">
      <alignment vertical="center" wrapText="1"/>
    </xf>
    <xf numFmtId="183" fontId="0" fillId="18" borderId="1" xfId="0" applyFont="1" applyFill="1" applyBorder="1" applyAlignment="1">
      <alignment horizontal="center" vertical="top" wrapText="1"/>
    </xf>
    <xf numFmtId="183" fontId="0" fillId="7" borderId="1" xfId="0" applyFont="1" applyFill="1" applyBorder="1" applyAlignment="1">
      <alignment horizontal="center" vertical="top" wrapText="1"/>
    </xf>
    <xf numFmtId="183" fontId="0" fillId="16" borderId="1" xfId="0" applyFont="1" applyFill="1" applyBorder="1" applyAlignment="1">
      <alignment horizontal="center" vertical="top" wrapText="1"/>
    </xf>
    <xf numFmtId="183" fontId="0" fillId="17" borderId="1" xfId="0" applyFont="1" applyFill="1" applyBorder="1">
      <alignment vertical="center"/>
    </xf>
    <xf numFmtId="183" fontId="0" fillId="12" borderId="1" xfId="0" applyFont="1" applyFill="1" applyBorder="1">
      <alignment vertical="center"/>
    </xf>
    <xf numFmtId="183" fontId="0" fillId="12" borderId="1" xfId="0" applyFont="1" applyFill="1" applyBorder="1" applyAlignment="1">
      <alignment vertical="center" wrapText="1"/>
    </xf>
    <xf numFmtId="183" fontId="0" fillId="18" borderId="1" xfId="0" applyFont="1" applyFill="1" applyBorder="1" applyAlignment="1">
      <alignment vertical="center" wrapText="1"/>
    </xf>
    <xf numFmtId="183" fontId="0" fillId="7" borderId="1" xfId="0" applyFill="1" applyBorder="1" applyAlignment="1">
      <alignment horizontal="center" vertical="center"/>
    </xf>
    <xf numFmtId="183" fontId="0" fillId="16" borderId="1" xfId="0" applyFill="1" applyBorder="1" applyAlignment="1">
      <alignment horizontal="center" vertical="center"/>
    </xf>
    <xf numFmtId="183" fontId="0" fillId="17" borderId="1" xfId="0" applyFill="1" applyBorder="1">
      <alignment vertical="center"/>
    </xf>
    <xf numFmtId="183" fontId="0" fillId="12" borderId="1" xfId="0" applyFill="1" applyBorder="1">
      <alignment vertical="center"/>
    </xf>
    <xf numFmtId="183" fontId="0" fillId="9" borderId="1" xfId="0" applyFill="1" applyBorder="1">
      <alignment vertical="center"/>
    </xf>
    <xf numFmtId="183" fontId="0" fillId="18" borderId="1" xfId="0" applyFill="1" applyBorder="1">
      <alignment vertical="center"/>
    </xf>
    <xf numFmtId="183" fontId="0" fillId="16" borderId="1" xfId="0" applyFill="1" applyBorder="1">
      <alignment vertical="center"/>
    </xf>
    <xf numFmtId="183" fontId="93" fillId="0" borderId="1" xfId="0" applyFont="1" applyFill="1" applyBorder="1" applyAlignment="1">
      <alignment horizontal="left" vertical="center" wrapText="1"/>
    </xf>
    <xf numFmtId="58" fontId="38" fillId="6" borderId="1" xfId="0" applyNumberFormat="1" applyFont="1" applyFill="1" applyBorder="1" applyAlignment="1">
      <alignment vertical="center"/>
    </xf>
    <xf numFmtId="183" fontId="38" fillId="6" borderId="1" xfId="0" applyFont="1" applyFill="1" applyBorder="1" applyAlignment="1">
      <alignment horizontal="left" vertical="center"/>
    </xf>
    <xf numFmtId="190" fontId="93" fillId="0" borderId="1" xfId="0" applyNumberFormat="1" applyFont="1" applyFill="1" applyBorder="1" applyAlignment="1">
      <alignment horizontal="center" vertical="center"/>
    </xf>
    <xf numFmtId="183" fontId="94" fillId="0" borderId="1" xfId="0" applyFont="1" applyBorder="1" applyAlignment="1">
      <alignment horizontal="center" vertical="center"/>
    </xf>
    <xf numFmtId="58" fontId="38" fillId="3" borderId="1" xfId="0" applyNumberFormat="1" applyFont="1" applyFill="1" applyBorder="1" applyAlignment="1">
      <alignment vertical="center"/>
    </xf>
    <xf numFmtId="183" fontId="38" fillId="3" borderId="1" xfId="0" applyFont="1" applyFill="1" applyBorder="1" applyAlignment="1">
      <alignment horizontal="left" vertical="center"/>
    </xf>
    <xf numFmtId="183" fontId="38" fillId="6" borderId="1" xfId="0" applyFont="1" applyFill="1" applyBorder="1">
      <alignment vertical="center"/>
    </xf>
    <xf numFmtId="183" fontId="0" fillId="6" borderId="1" xfId="0" applyFill="1" applyBorder="1" applyAlignment="1">
      <alignment horizontal="center" vertical="center"/>
    </xf>
    <xf numFmtId="183" fontId="0" fillId="0" borderId="6" xfId="0" applyFill="1" applyBorder="1" applyAlignment="1">
      <alignment horizontal="center" vertical="center"/>
    </xf>
    <xf numFmtId="183" fontId="0" fillId="0" borderId="1" xfId="0" applyBorder="1" applyAlignment="1">
      <alignment horizontal="center" vertical="center"/>
    </xf>
    <xf numFmtId="183" fontId="4" fillId="0" borderId="0" xfId="0" applyFont="1" applyAlignment="1">
      <alignment horizontal="center" vertical="center"/>
    </xf>
    <xf numFmtId="58" fontId="38" fillId="27" borderId="1" xfId="0" applyNumberFormat="1" applyFont="1" applyFill="1" applyBorder="1" applyAlignment="1">
      <alignment vertical="center"/>
    </xf>
    <xf numFmtId="183" fontId="38" fillId="27" borderId="1" xfId="0" applyFont="1" applyFill="1" applyBorder="1" applyAlignment="1">
      <alignment horizontal="left" vertical="center"/>
    </xf>
    <xf numFmtId="178" fontId="33" fillId="0" borderId="1" xfId="0" applyNumberFormat="1" applyFont="1" applyFill="1" applyBorder="1" applyAlignment="1">
      <alignment horizontal="center" vertical="center"/>
    </xf>
    <xf numFmtId="58" fontId="38" fillId="27" borderId="1" xfId="0" applyNumberFormat="1" applyFont="1" applyFill="1" applyBorder="1" applyAlignment="1">
      <alignment vertical="center" wrapText="1"/>
    </xf>
    <xf numFmtId="183" fontId="38" fillId="27" borderId="1" xfId="0" applyFont="1" applyFill="1" applyBorder="1" applyAlignment="1">
      <alignment horizontal="left" vertical="center" wrapText="1"/>
    </xf>
    <xf numFmtId="183" fontId="33" fillId="0" borderId="1" xfId="0" applyFont="1" applyFill="1" applyBorder="1" applyAlignment="1">
      <alignment horizontal="left" vertical="center" wrapText="1"/>
    </xf>
    <xf numFmtId="183" fontId="33" fillId="27" borderId="1" xfId="0" applyFont="1" applyFill="1" applyBorder="1" applyAlignment="1">
      <alignment horizontal="left" vertical="center" wrapText="1"/>
    </xf>
    <xf numFmtId="58" fontId="38" fillId="6" borderId="0" xfId="0" applyNumberFormat="1" applyFont="1" applyFill="1" applyBorder="1" applyAlignment="1">
      <alignment vertical="center"/>
    </xf>
    <xf numFmtId="183" fontId="0" fillId="6" borderId="0" xfId="0" applyFill="1">
      <alignment vertical="center"/>
    </xf>
    <xf numFmtId="183" fontId="0" fillId="6" borderId="1" xfId="0" applyFill="1" applyBorder="1">
      <alignment vertical="center"/>
    </xf>
    <xf numFmtId="190" fontId="33" fillId="0" borderId="1" xfId="0" applyNumberFormat="1" applyFont="1" applyFill="1" applyBorder="1" applyAlignment="1">
      <alignment horizontal="center" vertical="center" wrapText="1"/>
    </xf>
    <xf numFmtId="183" fontId="33" fillId="0" borderId="1" xfId="0" applyFont="1" applyFill="1" applyBorder="1" applyAlignment="1">
      <alignment horizontal="left" vertical="center"/>
    </xf>
    <xf numFmtId="190" fontId="33" fillId="0" borderId="1" xfId="0" applyNumberFormat="1" applyFont="1" applyFill="1" applyBorder="1" applyAlignment="1">
      <alignment horizontal="center" vertical="center"/>
    </xf>
    <xf numFmtId="183" fontId="38" fillId="3" borderId="1" xfId="0" applyFont="1" applyFill="1" applyBorder="1" applyAlignment="1">
      <alignment horizontal="center" vertical="center"/>
    </xf>
    <xf numFmtId="176" fontId="46" fillId="3" borderId="1" xfId="0" applyNumberFormat="1" applyFont="1" applyFill="1" applyBorder="1" applyAlignment="1">
      <alignment horizontal="center" vertical="center"/>
    </xf>
    <xf numFmtId="183" fontId="4" fillId="0" borderId="0" xfId="0" applyFont="1">
      <alignment vertical="center"/>
    </xf>
    <xf numFmtId="183" fontId="4" fillId="3" borderId="0" xfId="0" applyFont="1" applyFill="1">
      <alignment vertical="center"/>
    </xf>
    <xf numFmtId="43" fontId="46" fillId="3" borderId="1" xfId="6" applyFont="1" applyFill="1" applyBorder="1" applyAlignment="1">
      <alignment horizontal="center" vertical="center"/>
    </xf>
    <xf numFmtId="43" fontId="0" fillId="0" borderId="0" xfId="0" applyNumberFormat="1">
      <alignment vertical="center"/>
    </xf>
    <xf numFmtId="190" fontId="33" fillId="0" borderId="5" xfId="0" applyNumberFormat="1" applyFont="1" applyFill="1" applyBorder="1" applyAlignment="1">
      <alignment horizontal="center" vertical="center"/>
    </xf>
    <xf numFmtId="183" fontId="38" fillId="6" borderId="5" xfId="0" applyFont="1" applyFill="1" applyBorder="1" applyAlignment="1">
      <alignment horizontal="left" vertical="center"/>
    </xf>
    <xf numFmtId="58" fontId="47" fillId="6" borderId="1" xfId="0" applyNumberFormat="1" applyFont="1" applyFill="1" applyBorder="1" applyAlignment="1">
      <alignment horizontal="center" vertical="center" wrapText="1"/>
    </xf>
    <xf numFmtId="183" fontId="24" fillId="6" borderId="1" xfId="0" applyFont="1" applyFill="1" applyBorder="1" applyAlignment="1">
      <alignment horizontal="center" vertical="center" wrapText="1"/>
    </xf>
    <xf numFmtId="183" fontId="24" fillId="6" borderId="1" xfId="0" applyFont="1" applyFill="1" applyBorder="1" applyAlignment="1">
      <alignment horizontal="center" vertical="center"/>
    </xf>
    <xf numFmtId="183" fontId="40" fillId="6" borderId="1" xfId="0" applyFont="1" applyFill="1" applyBorder="1" applyAlignment="1">
      <alignment horizontal="center" vertical="center"/>
    </xf>
    <xf numFmtId="183" fontId="0" fillId="28" borderId="0" xfId="0" applyFill="1">
      <alignment vertical="center"/>
    </xf>
    <xf numFmtId="43" fontId="0" fillId="28" borderId="0" xfId="6" applyFont="1" applyFill="1">
      <alignment vertical="center"/>
    </xf>
    <xf numFmtId="43" fontId="24" fillId="0" borderId="8" xfId="6" applyFont="1" applyFill="1" applyBorder="1" applyAlignment="1">
      <alignment horizontal="center" vertical="center"/>
    </xf>
    <xf numFmtId="43" fontId="24" fillId="28" borderId="0" xfId="0" applyNumberFormat="1" applyFont="1" applyFill="1" applyBorder="1" applyAlignment="1">
      <alignment horizontal="center" vertical="center"/>
    </xf>
    <xf numFmtId="183" fontId="42" fillId="6" borderId="13" xfId="0" applyFont="1" applyFill="1" applyBorder="1" applyAlignment="1">
      <alignment horizontal="center" vertical="center"/>
    </xf>
    <xf numFmtId="183" fontId="42" fillId="6" borderId="1" xfId="0" applyFont="1" applyFill="1" applyBorder="1" applyAlignment="1">
      <alignment horizontal="center" vertical="center"/>
    </xf>
    <xf numFmtId="189" fontId="42" fillId="6" borderId="1" xfId="0" applyNumberFormat="1" applyFont="1" applyFill="1" applyBorder="1" applyAlignment="1">
      <alignment horizontal="center" vertical="center"/>
    </xf>
    <xf numFmtId="185" fontId="42" fillId="6" borderId="1" xfId="0" applyNumberFormat="1" applyFont="1" applyFill="1" applyBorder="1" applyAlignment="1">
      <alignment horizontal="center" vertical="center"/>
    </xf>
    <xf numFmtId="183" fontId="42" fillId="3" borderId="13" xfId="0" applyFont="1" applyFill="1" applyBorder="1" applyAlignment="1">
      <alignment horizontal="center" vertical="center"/>
    </xf>
    <xf numFmtId="183" fontId="42" fillId="3" borderId="1" xfId="0" applyFont="1" applyFill="1" applyBorder="1" applyAlignment="1">
      <alignment horizontal="center" vertical="center"/>
    </xf>
    <xf numFmtId="189" fontId="42" fillId="3" borderId="1" xfId="0" applyNumberFormat="1" applyFont="1" applyFill="1" applyBorder="1" applyAlignment="1">
      <alignment horizontal="center" vertical="center"/>
    </xf>
    <xf numFmtId="185" fontId="42" fillId="3" borderId="1" xfId="0" applyNumberFormat="1" applyFont="1" applyFill="1" applyBorder="1" applyAlignment="1">
      <alignment horizontal="center" vertical="center"/>
    </xf>
    <xf numFmtId="178" fontId="42" fillId="3" borderId="1" xfId="0" applyNumberFormat="1" applyFont="1" applyFill="1" applyBorder="1" applyAlignment="1">
      <alignment horizontal="center" vertical="center"/>
    </xf>
    <xf numFmtId="183" fontId="42" fillId="5" borderId="13" xfId="0" applyFont="1" applyFill="1" applyBorder="1" applyAlignment="1">
      <alignment horizontal="center" vertical="center"/>
    </xf>
    <xf numFmtId="183" fontId="42" fillId="5" borderId="1" xfId="0" applyFont="1" applyFill="1" applyBorder="1" applyAlignment="1">
      <alignment horizontal="center" vertical="center"/>
    </xf>
    <xf numFmtId="189" fontId="42" fillId="5" borderId="1" xfId="0" applyNumberFormat="1" applyFont="1" applyFill="1" applyBorder="1" applyAlignment="1">
      <alignment horizontal="center" vertical="center"/>
    </xf>
    <xf numFmtId="185" fontId="42" fillId="5" borderId="1" xfId="0" applyNumberFormat="1" applyFont="1" applyFill="1" applyBorder="1" applyAlignment="1">
      <alignment horizontal="center" vertical="center"/>
    </xf>
    <xf numFmtId="183" fontId="0" fillId="5" borderId="0" xfId="0" applyFill="1">
      <alignment vertical="center"/>
    </xf>
    <xf numFmtId="183" fontId="4" fillId="0" borderId="1" xfId="0" applyFont="1" applyBorder="1">
      <alignment vertical="center"/>
    </xf>
    <xf numFmtId="183" fontId="4" fillId="5" borderId="0" xfId="0" applyFont="1" applyFill="1">
      <alignment vertical="center"/>
    </xf>
    <xf numFmtId="185" fontId="42" fillId="3" borderId="1" xfId="0" quotePrefix="1" applyNumberFormat="1" applyFont="1" applyFill="1" applyBorder="1" applyAlignment="1">
      <alignment horizontal="center" vertical="center"/>
    </xf>
    <xf numFmtId="183" fontId="42" fillId="3" borderId="1" xfId="0" applyFont="1" applyFill="1" applyBorder="1" applyAlignment="1">
      <alignment horizontal="center" vertical="center" wrapText="1"/>
    </xf>
    <xf numFmtId="183" fontId="42" fillId="5" borderId="1" xfId="0" applyFont="1" applyFill="1" applyBorder="1" applyAlignment="1">
      <alignment horizontal="center" vertical="center" wrapText="1"/>
    </xf>
    <xf numFmtId="183" fontId="4" fillId="0" borderId="1" xfId="0" applyFont="1" applyBorder="1" applyAlignment="1">
      <alignment horizontal="center" vertical="center"/>
    </xf>
    <xf numFmtId="183" fontId="38" fillId="3" borderId="1" xfId="0" applyFont="1" applyFill="1" applyBorder="1">
      <alignment vertical="center"/>
    </xf>
    <xf numFmtId="183" fontId="37" fillId="0" borderId="0" xfId="0" applyFont="1" applyFill="1" applyBorder="1" applyAlignment="1">
      <alignment horizontal="center" vertical="center" wrapText="1"/>
    </xf>
    <xf numFmtId="183" fontId="0" fillId="3" borderId="0" xfId="0" applyFont="1" applyFill="1">
      <alignment vertical="center"/>
    </xf>
    <xf numFmtId="186" fontId="4" fillId="0" borderId="0" xfId="0" applyNumberFormat="1" applyFont="1">
      <alignment vertical="center"/>
    </xf>
    <xf numFmtId="183" fontId="33" fillId="5" borderId="1" xfId="0" applyFont="1" applyFill="1" applyBorder="1" applyAlignment="1">
      <alignment horizontal="center" vertical="center" wrapText="1"/>
    </xf>
    <xf numFmtId="43" fontId="4" fillId="6" borderId="1" xfId="0" applyNumberFormat="1" applyFont="1" applyFill="1" applyBorder="1" applyAlignment="1">
      <alignment horizontal="center" vertical="center"/>
    </xf>
    <xf numFmtId="43" fontId="4" fillId="3" borderId="1" xfId="0" applyNumberFormat="1" applyFont="1" applyFill="1" applyBorder="1" applyAlignment="1">
      <alignment horizontal="center" vertical="center"/>
    </xf>
    <xf numFmtId="43" fontId="4" fillId="29" borderId="1" xfId="0" applyNumberFormat="1" applyFont="1" applyFill="1" applyBorder="1" applyAlignment="1">
      <alignment horizontal="center" vertical="center"/>
    </xf>
    <xf numFmtId="43" fontId="4" fillId="14" borderId="1" xfId="0" applyNumberFormat="1" applyFont="1" applyFill="1" applyBorder="1" applyAlignment="1">
      <alignment horizontal="center" vertical="center"/>
    </xf>
    <xf numFmtId="183" fontId="4" fillId="29" borderId="1" xfId="0" applyFont="1" applyFill="1" applyBorder="1" applyAlignment="1">
      <alignment horizontal="center" vertical="center" wrapText="1"/>
    </xf>
    <xf numFmtId="183" fontId="33" fillId="0" borderId="1" xfId="0" applyFont="1" applyFill="1" applyBorder="1" applyAlignment="1">
      <alignment horizontal="center" vertical="center" wrapText="1"/>
    </xf>
    <xf numFmtId="183" fontId="33" fillId="27" borderId="1" xfId="0" applyFont="1" applyFill="1" applyBorder="1" applyAlignment="1">
      <alignment horizontal="left" vertical="center"/>
    </xf>
    <xf numFmtId="183" fontId="33" fillId="6" borderId="1" xfId="0" applyFont="1" applyFill="1" applyBorder="1" applyAlignment="1">
      <alignment horizontal="left" vertical="center"/>
    </xf>
    <xf numFmtId="183" fontId="33" fillId="27" borderId="1" xfId="0" applyFont="1" applyFill="1" applyBorder="1" applyAlignment="1">
      <alignment horizontal="center" vertical="center" wrapText="1"/>
    </xf>
    <xf numFmtId="194" fontId="38" fillId="0" borderId="0" xfId="0" applyNumberFormat="1" applyFont="1" applyFill="1" applyBorder="1" applyAlignment="1">
      <alignment horizontal="center" vertical="center"/>
    </xf>
    <xf numFmtId="195" fontId="38" fillId="0" borderId="1" xfId="0" applyNumberFormat="1" applyFont="1" applyFill="1" applyBorder="1" applyAlignment="1">
      <alignment horizontal="center" vertical="center" wrapText="1"/>
    </xf>
    <xf numFmtId="183" fontId="38" fillId="27" borderId="1" xfId="0" applyFont="1" applyFill="1" applyBorder="1" applyAlignment="1">
      <alignment vertical="center"/>
    </xf>
    <xf numFmtId="183" fontId="4" fillId="5" borderId="1" xfId="0" applyFont="1" applyFill="1" applyBorder="1" applyAlignment="1">
      <alignment horizontal="center" vertical="center"/>
    </xf>
    <xf numFmtId="183" fontId="0" fillId="5" borderId="1" xfId="0" applyFill="1" applyBorder="1" applyAlignment="1">
      <alignment horizontal="center" vertical="center"/>
    </xf>
    <xf numFmtId="178" fontId="53" fillId="0" borderId="0" xfId="0" applyNumberFormat="1" applyFont="1">
      <alignment vertical="center"/>
    </xf>
    <xf numFmtId="183" fontId="4" fillId="5" borderId="1" xfId="0" applyFont="1" applyFill="1" applyBorder="1" applyAlignment="1">
      <alignment vertical="center"/>
    </xf>
    <xf numFmtId="183" fontId="0" fillId="0" borderId="1" xfId="0" applyFill="1" applyBorder="1" applyAlignment="1">
      <alignment wrapText="1"/>
    </xf>
    <xf numFmtId="183" fontId="0" fillId="5" borderId="23" xfId="0" applyFill="1" applyBorder="1" applyAlignment="1">
      <alignment vertical="center"/>
    </xf>
    <xf numFmtId="183" fontId="0" fillId="5" borderId="23" xfId="0" applyFill="1" applyBorder="1" applyAlignment="1">
      <alignment horizontal="center" vertical="center"/>
    </xf>
    <xf numFmtId="193" fontId="65" fillId="3" borderId="1" xfId="0" applyNumberFormat="1" applyFont="1" applyFill="1" applyBorder="1" applyAlignment="1"/>
    <xf numFmtId="2" fontId="15" fillId="5" borderId="8" xfId="0" applyNumberFormat="1" applyFont="1" applyFill="1" applyBorder="1" applyAlignment="1">
      <alignment horizontal="center" vertical="center"/>
    </xf>
    <xf numFmtId="181" fontId="15" fillId="5" borderId="8" xfId="0" applyNumberFormat="1" applyFont="1" applyFill="1" applyBorder="1" applyAlignment="1">
      <alignment horizontal="center" vertical="center"/>
    </xf>
    <xf numFmtId="183" fontId="0" fillId="5" borderId="0" xfId="0" applyFill="1" applyBorder="1">
      <alignment vertical="center"/>
    </xf>
    <xf numFmtId="183" fontId="4" fillId="5" borderId="1" xfId="0" applyFont="1" applyFill="1" applyBorder="1" applyAlignment="1"/>
    <xf numFmtId="190" fontId="0" fillId="5" borderId="1" xfId="0" applyNumberFormat="1" applyFill="1" applyBorder="1" applyAlignment="1">
      <alignment vertical="center"/>
    </xf>
    <xf numFmtId="183" fontId="0" fillId="5" borderId="23" xfId="0" applyFill="1" applyBorder="1" applyAlignment="1">
      <alignment horizontal="left" vertical="center" wrapText="1"/>
    </xf>
    <xf numFmtId="183" fontId="0" fillId="5" borderId="23" xfId="0" applyFill="1" applyBorder="1" applyAlignment="1">
      <alignment horizontal="left" vertical="center"/>
    </xf>
    <xf numFmtId="178" fontId="4" fillId="5" borderId="1" xfId="0" applyNumberFormat="1" applyFont="1" applyFill="1" applyBorder="1" applyAlignment="1">
      <alignment horizontal="center" vertical="center"/>
    </xf>
    <xf numFmtId="183" fontId="0" fillId="5" borderId="1" xfId="0" applyFill="1" applyBorder="1">
      <alignment vertical="center"/>
    </xf>
    <xf numFmtId="183" fontId="0" fillId="5" borderId="1" xfId="0" applyFill="1" applyBorder="1" applyAlignment="1">
      <alignment horizontal="center" vertical="center"/>
    </xf>
    <xf numFmtId="183" fontId="0" fillId="5" borderId="1" xfId="0" applyFill="1" applyBorder="1" applyAlignment="1">
      <alignment horizontal="center" vertical="top" wrapText="1"/>
    </xf>
    <xf numFmtId="183" fontId="0" fillId="5" borderId="1" xfId="0" applyFont="1" applyFill="1" applyBorder="1" applyAlignment="1">
      <alignment horizontal="center" vertical="center" wrapText="1"/>
    </xf>
    <xf numFmtId="183" fontId="0" fillId="5" borderId="1" xfId="0" applyFont="1" applyFill="1" applyBorder="1" applyAlignment="1">
      <alignment horizontal="center" vertical="top" wrapText="1"/>
    </xf>
    <xf numFmtId="183" fontId="0" fillId="5" borderId="23" xfId="0" applyFill="1" applyBorder="1">
      <alignment vertical="center"/>
    </xf>
    <xf numFmtId="178" fontId="0" fillId="5" borderId="0" xfId="0" applyNumberFormat="1" applyFill="1" applyBorder="1">
      <alignment vertical="center"/>
    </xf>
    <xf numFmtId="185" fontId="0" fillId="5" borderId="1" xfId="0" applyNumberFormat="1" applyFill="1" applyBorder="1">
      <alignment vertical="center"/>
    </xf>
    <xf numFmtId="185" fontId="0" fillId="5" borderId="1" xfId="0" applyNumberFormat="1" applyFill="1" applyBorder="1" applyAlignment="1">
      <alignment vertical="center"/>
    </xf>
    <xf numFmtId="185" fontId="0" fillId="5" borderId="0" xfId="0" applyNumberFormat="1" applyFill="1" applyBorder="1">
      <alignment vertical="center"/>
    </xf>
    <xf numFmtId="185" fontId="0" fillId="5" borderId="23" xfId="0" applyNumberFormat="1" applyFill="1" applyBorder="1" applyAlignment="1">
      <alignment vertical="center"/>
    </xf>
    <xf numFmtId="2" fontId="15" fillId="5" borderId="23" xfId="0" applyNumberFormat="1" applyFont="1" applyFill="1" applyBorder="1" applyAlignment="1">
      <alignment horizontal="center" vertical="center"/>
    </xf>
    <xf numFmtId="185" fontId="0" fillId="5" borderId="23" xfId="0" applyNumberFormat="1" applyFill="1" applyBorder="1">
      <alignment vertical="center"/>
    </xf>
    <xf numFmtId="2" fontId="15" fillId="5" borderId="1" xfId="0" applyNumberFormat="1" applyFont="1" applyFill="1" applyBorder="1" applyAlignment="1">
      <alignment horizontal="center" vertical="center"/>
    </xf>
    <xf numFmtId="183" fontId="0" fillId="5" borderId="8" xfId="0" applyFill="1" applyBorder="1" applyAlignment="1">
      <alignment vertical="center"/>
    </xf>
    <xf numFmtId="183" fontId="0" fillId="5" borderId="8" xfId="0" applyFill="1" applyBorder="1">
      <alignment vertical="center"/>
    </xf>
    <xf numFmtId="183" fontId="0" fillId="5" borderId="8" xfId="0" applyFill="1" applyBorder="1" applyAlignment="1">
      <alignment vertical="center" wrapText="1"/>
    </xf>
    <xf numFmtId="178" fontId="0" fillId="5" borderId="8" xfId="0" applyNumberFormat="1" applyFill="1" applyBorder="1" applyAlignment="1">
      <alignment horizontal="center" vertical="center"/>
    </xf>
    <xf numFmtId="178" fontId="0" fillId="5" borderId="23" xfId="0" applyNumberFormat="1" applyFill="1" applyBorder="1" applyAlignment="1">
      <alignment horizontal="center" vertical="center"/>
    </xf>
    <xf numFmtId="178" fontId="0" fillId="5" borderId="23" xfId="0" applyNumberFormat="1" applyFill="1" applyBorder="1" applyAlignment="1">
      <alignment horizontal="center" vertical="center" wrapText="1"/>
    </xf>
    <xf numFmtId="178" fontId="0" fillId="5" borderId="8" xfId="0" applyNumberFormat="1" applyFill="1" applyBorder="1" applyAlignment="1">
      <alignment horizontal="center" vertical="center" wrapText="1"/>
    </xf>
    <xf numFmtId="178" fontId="0" fillId="5" borderId="1" xfId="0" applyNumberFormat="1" applyFill="1" applyBorder="1" applyAlignment="1">
      <alignment vertical="center"/>
    </xf>
    <xf numFmtId="43" fontId="15" fillId="5" borderId="1" xfId="6" applyFont="1" applyFill="1" applyBorder="1" applyAlignment="1">
      <alignment horizontal="center" vertical="center"/>
    </xf>
    <xf numFmtId="181" fontId="15" fillId="5" borderId="1" xfId="0" applyNumberFormat="1" applyFont="1" applyFill="1" applyBorder="1" applyAlignment="1">
      <alignment horizontal="center" vertical="center"/>
    </xf>
    <xf numFmtId="183" fontId="4" fillId="5" borderId="8" xfId="0" applyFont="1" applyFill="1" applyBorder="1" applyAlignment="1">
      <alignment vertical="center" wrapText="1"/>
    </xf>
    <xf numFmtId="183" fontId="97" fillId="5" borderId="23" xfId="0" applyFont="1" applyFill="1" applyBorder="1" applyAlignment="1">
      <alignment horizontal="left" vertical="center"/>
    </xf>
    <xf numFmtId="183" fontId="97" fillId="5" borderId="23" xfId="0" applyFont="1" applyFill="1" applyBorder="1" applyAlignment="1"/>
    <xf numFmtId="183" fontId="97" fillId="5" borderId="23" xfId="0" applyFont="1" applyFill="1" applyBorder="1" applyAlignment="1">
      <alignment horizontal="left" vertical="center" wrapText="1"/>
    </xf>
    <xf numFmtId="183" fontId="97" fillId="5" borderId="0" xfId="0" applyFont="1" applyFill="1" applyBorder="1" applyAlignment="1"/>
    <xf numFmtId="43" fontId="97" fillId="5" borderId="23" xfId="6" applyFont="1" applyFill="1" applyBorder="1" applyAlignment="1">
      <alignment horizontal="right"/>
    </xf>
    <xf numFmtId="43" fontId="97" fillId="5" borderId="23" xfId="6" applyFont="1" applyFill="1" applyBorder="1" applyAlignment="1">
      <alignment horizontal="right" vertical="center"/>
    </xf>
    <xf numFmtId="2" fontId="15" fillId="5" borderId="1" xfId="0" applyNumberFormat="1" applyFont="1" applyFill="1" applyBorder="1" applyAlignment="1">
      <alignment vertical="center"/>
    </xf>
    <xf numFmtId="183" fontId="0" fillId="5" borderId="8" xfId="0" applyFill="1" applyBorder="1" applyAlignment="1">
      <alignment horizontal="center" vertical="center"/>
    </xf>
    <xf numFmtId="183" fontId="0" fillId="5" borderId="0" xfId="0" applyFill="1" applyBorder="1" applyAlignment="1">
      <alignment horizontal="center" vertical="center"/>
    </xf>
    <xf numFmtId="183" fontId="4" fillId="5" borderId="1" xfId="0" applyFont="1" applyFill="1" applyBorder="1" applyAlignment="1">
      <alignment horizontal="left" vertical="center" wrapText="1"/>
    </xf>
    <xf numFmtId="183" fontId="0" fillId="5" borderId="1" xfId="0" applyFill="1" applyBorder="1" applyAlignment="1">
      <alignment horizontal="left" vertical="center" wrapText="1"/>
    </xf>
    <xf numFmtId="2" fontId="15" fillId="5" borderId="8" xfId="0" applyNumberFormat="1" applyFont="1" applyFill="1" applyBorder="1" applyAlignment="1">
      <alignment horizontal="left" vertical="center"/>
    </xf>
    <xf numFmtId="183" fontId="0" fillId="5" borderId="8" xfId="0" applyFill="1" applyBorder="1" applyAlignment="1">
      <alignment horizontal="left" vertical="center" wrapText="1"/>
    </xf>
    <xf numFmtId="183" fontId="0" fillId="5" borderId="0" xfId="0" applyFill="1" applyBorder="1" applyAlignment="1">
      <alignment horizontal="left" vertical="center"/>
    </xf>
    <xf numFmtId="183" fontId="4" fillId="5" borderId="8" xfId="0" applyFont="1" applyFill="1" applyBorder="1" applyAlignment="1">
      <alignment horizontal="center" vertical="center"/>
    </xf>
    <xf numFmtId="43" fontId="15" fillId="5" borderId="1" xfId="6" applyFont="1" applyFill="1" applyBorder="1" applyAlignment="1">
      <alignment horizontal="right" vertical="center"/>
    </xf>
    <xf numFmtId="43" fontId="0" fillId="5" borderId="1" xfId="6" applyFont="1" applyFill="1" applyBorder="1" applyAlignment="1">
      <alignment horizontal="right" vertical="center"/>
    </xf>
    <xf numFmtId="43" fontId="15" fillId="5" borderId="8" xfId="6" applyFont="1" applyFill="1" applyBorder="1" applyAlignment="1">
      <alignment horizontal="right" vertical="center"/>
    </xf>
    <xf numFmtId="43" fontId="0" fillId="5" borderId="8" xfId="6" applyFont="1" applyFill="1" applyBorder="1" applyAlignment="1">
      <alignment horizontal="right" vertical="center"/>
    </xf>
    <xf numFmtId="43" fontId="0" fillId="5" borderId="8" xfId="6" applyFont="1" applyFill="1" applyBorder="1" applyAlignment="1">
      <alignment horizontal="right" vertical="center" wrapText="1"/>
    </xf>
    <xf numFmtId="43" fontId="0" fillId="5" borderId="23" xfId="6" applyFont="1" applyFill="1" applyBorder="1" applyAlignment="1">
      <alignment horizontal="right" vertical="center"/>
    </xf>
    <xf numFmtId="43" fontId="0" fillId="5" borderId="23" xfId="6" applyFont="1" applyFill="1" applyBorder="1" applyAlignment="1">
      <alignment horizontal="right" vertical="center" wrapText="1"/>
    </xf>
    <xf numFmtId="2" fontId="15" fillId="5" borderId="8" xfId="0" applyNumberFormat="1" applyFont="1" applyFill="1" applyBorder="1" applyAlignment="1">
      <alignment vertical="center" wrapText="1"/>
    </xf>
    <xf numFmtId="178" fontId="0" fillId="5" borderId="8" xfId="0" applyNumberFormat="1" applyFill="1" applyBorder="1" applyAlignment="1">
      <alignment vertical="center"/>
    </xf>
    <xf numFmtId="178" fontId="4" fillId="5" borderId="8" xfId="0" applyNumberFormat="1" applyFont="1" applyFill="1" applyBorder="1" applyAlignment="1">
      <alignment vertical="center" wrapText="1"/>
    </xf>
    <xf numFmtId="178" fontId="4" fillId="5" borderId="23" xfId="0" applyNumberFormat="1" applyFont="1" applyFill="1" applyBorder="1" applyAlignment="1">
      <alignment vertical="center"/>
    </xf>
    <xf numFmtId="178" fontId="4" fillId="5" borderId="23" xfId="0" applyNumberFormat="1" applyFont="1" applyFill="1" applyBorder="1" applyAlignment="1">
      <alignment vertical="center" wrapText="1"/>
    </xf>
    <xf numFmtId="2" fontId="15" fillId="5" borderId="1" xfId="0" applyNumberFormat="1" applyFont="1" applyFill="1" applyBorder="1" applyAlignment="1">
      <alignment horizontal="left" vertical="center" wrapText="1"/>
    </xf>
    <xf numFmtId="178" fontId="0" fillId="5" borderId="8" xfId="0" applyNumberFormat="1" applyFill="1" applyBorder="1" applyAlignment="1">
      <alignment horizontal="left" vertical="center" wrapText="1"/>
    </xf>
    <xf numFmtId="178" fontId="0" fillId="5" borderId="23" xfId="0" applyNumberFormat="1" applyFill="1" applyBorder="1" applyAlignment="1">
      <alignment horizontal="left" vertical="center" wrapText="1"/>
    </xf>
    <xf numFmtId="9" fontId="97" fillId="5" borderId="23" xfId="3" applyFont="1" applyFill="1" applyBorder="1" applyAlignment="1">
      <alignment horizontal="right"/>
    </xf>
    <xf numFmtId="43" fontId="97" fillId="14" borderId="23" xfId="6" applyFont="1" applyFill="1" applyBorder="1" applyAlignment="1">
      <alignment horizontal="right"/>
    </xf>
    <xf numFmtId="43" fontId="97" fillId="14" borderId="23" xfId="6" applyFont="1" applyFill="1" applyBorder="1" applyAlignment="1">
      <alignment horizontal="right" vertical="center"/>
    </xf>
    <xf numFmtId="183" fontId="97" fillId="14" borderId="0" xfId="0" applyFont="1" applyFill="1" applyBorder="1" applyAlignment="1"/>
    <xf numFmtId="9" fontId="97" fillId="14" borderId="23" xfId="3" applyFont="1" applyFill="1" applyBorder="1" applyAlignment="1">
      <alignment horizontal="right"/>
    </xf>
    <xf numFmtId="2" fontId="15" fillId="14" borderId="1" xfId="0" applyNumberFormat="1" applyFont="1" applyFill="1" applyBorder="1" applyAlignment="1">
      <alignment horizontal="left" vertical="center"/>
    </xf>
    <xf numFmtId="183" fontId="97" fillId="14" borderId="23" xfId="0" applyFont="1" applyFill="1" applyBorder="1" applyAlignment="1">
      <alignment horizontal="left" vertical="center" wrapText="1"/>
    </xf>
    <xf numFmtId="185" fontId="97" fillId="0" borderId="23" xfId="0" applyNumberFormat="1" applyFont="1" applyFill="1" applyBorder="1" applyAlignment="1">
      <alignment horizontal="center" vertical="center" wrapText="1"/>
    </xf>
    <xf numFmtId="183" fontId="97" fillId="0" borderId="23" xfId="0" applyFont="1" applyFill="1" applyBorder="1" applyAlignment="1">
      <alignment horizontal="left" vertical="center" wrapText="1"/>
    </xf>
    <xf numFmtId="183" fontId="97" fillId="0" borderId="23" xfId="0" applyFont="1" applyFill="1" applyBorder="1" applyAlignment="1">
      <alignment horizontal="center" vertical="center" wrapText="1"/>
    </xf>
    <xf numFmtId="190" fontId="97" fillId="0" borderId="23" xfId="0" applyNumberFormat="1" applyFont="1" applyFill="1" applyBorder="1" applyAlignment="1"/>
    <xf numFmtId="43" fontId="97" fillId="0" borderId="23" xfId="6" applyFont="1" applyFill="1" applyBorder="1" applyAlignment="1">
      <alignment horizontal="right" vertical="center" wrapText="1"/>
    </xf>
    <xf numFmtId="43" fontId="97" fillId="0" borderId="23" xfId="6" applyFont="1" applyFill="1" applyBorder="1" applyAlignment="1">
      <alignment horizontal="right" vertical="center"/>
    </xf>
    <xf numFmtId="43" fontId="97" fillId="0" borderId="23" xfId="6" applyFont="1" applyFill="1" applyBorder="1" applyAlignment="1">
      <alignment horizontal="right"/>
    </xf>
    <xf numFmtId="183" fontId="97" fillId="0" borderId="23" xfId="0" applyFont="1" applyFill="1" applyBorder="1" applyAlignment="1">
      <alignment horizontal="left"/>
    </xf>
    <xf numFmtId="183" fontId="97" fillId="0" borderId="23" xfId="0" applyFont="1" applyFill="1" applyBorder="1" applyAlignment="1"/>
    <xf numFmtId="183" fontId="97" fillId="0" borderId="0" xfId="0" applyFont="1" applyFill="1" applyBorder="1" applyAlignment="1"/>
    <xf numFmtId="183" fontId="0" fillId="5" borderId="22" xfId="0" applyFont="1" applyFill="1" applyBorder="1" applyAlignment="1">
      <alignment horizontal="center" vertical="center"/>
    </xf>
    <xf numFmtId="190" fontId="0" fillId="5" borderId="23" xfId="0" applyNumberFormat="1" applyFill="1" applyBorder="1" applyAlignment="1">
      <alignment vertical="center"/>
    </xf>
    <xf numFmtId="2" fontId="15" fillId="5" borderId="22" xfId="0" applyNumberFormat="1" applyFont="1" applyFill="1" applyBorder="1" applyAlignment="1">
      <alignment horizontal="center" vertical="center"/>
    </xf>
    <xf numFmtId="178" fontId="0" fillId="5" borderId="22" xfId="0" applyNumberFormat="1" applyFill="1" applyBorder="1" applyAlignment="1">
      <alignment horizontal="center" vertical="center"/>
    </xf>
    <xf numFmtId="183" fontId="0" fillId="5" borderId="22" xfId="0" applyFill="1" applyBorder="1">
      <alignment vertical="center"/>
    </xf>
    <xf numFmtId="178" fontId="0" fillId="5" borderId="22" xfId="0" applyNumberFormat="1" applyFill="1" applyBorder="1" applyAlignment="1">
      <alignment horizontal="center" vertical="center" wrapText="1"/>
    </xf>
    <xf numFmtId="183" fontId="4" fillId="5" borderId="5" xfId="0" applyFont="1" applyFill="1" applyBorder="1" applyAlignment="1">
      <alignment horizontal="center" vertical="center"/>
    </xf>
    <xf numFmtId="178" fontId="4" fillId="5" borderId="23" xfId="0" applyNumberFormat="1" applyFont="1" applyFill="1" applyBorder="1" applyAlignment="1">
      <alignment horizontal="center" vertical="center"/>
    </xf>
    <xf numFmtId="183" fontId="97" fillId="0" borderId="23" xfId="0" applyFont="1" applyFill="1" applyBorder="1" applyAlignment="1">
      <alignment vertical="center" wrapText="1"/>
    </xf>
    <xf numFmtId="194" fontId="100" fillId="0" borderId="23" xfId="0" applyNumberFormat="1" applyFont="1" applyFill="1" applyBorder="1" applyAlignment="1">
      <alignment vertical="center" wrapText="1"/>
    </xf>
    <xf numFmtId="190" fontId="97" fillId="0" borderId="23" xfId="0" applyNumberFormat="1" applyFont="1" applyFill="1" applyBorder="1" applyAlignment="1">
      <alignment vertical="center" wrapText="1"/>
    </xf>
    <xf numFmtId="9" fontId="97" fillId="0" borderId="23" xfId="3" applyFont="1" applyFill="1" applyBorder="1" applyAlignment="1">
      <alignment horizontal="right"/>
    </xf>
    <xf numFmtId="183" fontId="0" fillId="30" borderId="0" xfId="0" applyFill="1">
      <alignment vertical="center"/>
    </xf>
    <xf numFmtId="2" fontId="15" fillId="14" borderId="23" xfId="0" applyNumberFormat="1" applyFont="1" applyFill="1" applyBorder="1" applyAlignment="1">
      <alignment horizontal="left" vertical="center"/>
    </xf>
    <xf numFmtId="183" fontId="4" fillId="5" borderId="23" xfId="0" applyFont="1" applyFill="1" applyBorder="1" applyAlignment="1">
      <alignment horizontal="left" vertical="center" wrapText="1"/>
    </xf>
    <xf numFmtId="2" fontId="15" fillId="5" borderId="23" xfId="0" applyNumberFormat="1" applyFont="1" applyFill="1" applyBorder="1" applyAlignment="1">
      <alignment horizontal="left" vertical="center"/>
    </xf>
    <xf numFmtId="43" fontId="97" fillId="14" borderId="24" xfId="6" applyFont="1" applyFill="1" applyBorder="1" applyAlignment="1">
      <alignment horizontal="right"/>
    </xf>
    <xf numFmtId="196" fontId="97" fillId="5" borderId="23" xfId="3" applyNumberFormat="1" applyFont="1" applyFill="1" applyBorder="1" applyAlignment="1">
      <alignment horizontal="right"/>
    </xf>
    <xf numFmtId="10" fontId="97" fillId="5" borderId="23" xfId="3" applyNumberFormat="1" applyFont="1" applyFill="1" applyBorder="1" applyAlignment="1">
      <alignment horizontal="right"/>
    </xf>
    <xf numFmtId="43" fontId="97" fillId="5" borderId="25" xfId="6" applyFont="1" applyFill="1" applyBorder="1" applyAlignment="1">
      <alignment horizontal="right"/>
    </xf>
    <xf numFmtId="196" fontId="97" fillId="5" borderId="25" xfId="3" applyNumberFormat="1" applyFont="1" applyFill="1" applyBorder="1" applyAlignment="1">
      <alignment horizontal="right"/>
    </xf>
    <xf numFmtId="43" fontId="97" fillId="14" borderId="25" xfId="6" applyFont="1" applyFill="1" applyBorder="1" applyAlignment="1">
      <alignment horizontal="right"/>
    </xf>
    <xf numFmtId="43" fontId="97" fillId="14" borderId="25" xfId="6" applyFont="1" applyFill="1" applyBorder="1" applyAlignment="1"/>
    <xf numFmtId="190" fontId="97" fillId="14" borderId="5" xfId="0" applyNumberFormat="1" applyFont="1" applyFill="1" applyBorder="1" applyAlignment="1">
      <alignment vertical="center" wrapText="1"/>
    </xf>
    <xf numFmtId="190" fontId="97" fillId="14" borderId="0" xfId="0" applyNumberFormat="1" applyFont="1" applyFill="1" applyBorder="1" applyAlignment="1"/>
    <xf numFmtId="190" fontId="97" fillId="0" borderId="5" xfId="0" applyNumberFormat="1" applyFont="1" applyFill="1" applyBorder="1" applyAlignment="1">
      <alignment vertical="center" wrapText="1"/>
    </xf>
    <xf numFmtId="43" fontId="98" fillId="0" borderId="23" xfId="6" applyFont="1" applyFill="1" applyBorder="1" applyAlignment="1">
      <alignment horizontal="right" vertical="center"/>
    </xf>
    <xf numFmtId="190" fontId="97" fillId="0" borderId="0" xfId="0" applyNumberFormat="1" applyFont="1" applyFill="1" applyBorder="1" applyAlignment="1"/>
    <xf numFmtId="183" fontId="4" fillId="5" borderId="22" xfId="0" applyFont="1" applyFill="1" applyBorder="1" applyAlignment="1">
      <alignment horizontal="left" vertical="center"/>
    </xf>
    <xf numFmtId="183" fontId="4" fillId="5" borderId="22" xfId="0" applyFont="1" applyFill="1" applyBorder="1" applyAlignment="1">
      <alignment horizontal="left" vertical="center" wrapText="1"/>
    </xf>
    <xf numFmtId="185" fontId="97" fillId="0" borderId="1" xfId="0" applyNumberFormat="1" applyFont="1" applyFill="1" applyBorder="1" applyAlignment="1">
      <alignment horizontal="center" vertical="center"/>
    </xf>
    <xf numFmtId="183" fontId="97" fillId="0" borderId="5" xfId="0" applyFont="1" applyFill="1" applyBorder="1" applyAlignment="1">
      <alignment horizontal="left" vertical="center"/>
    </xf>
    <xf numFmtId="183" fontId="97" fillId="0" borderId="5" xfId="0" applyFont="1" applyFill="1" applyBorder="1" applyAlignment="1">
      <alignment horizontal="center" vertical="center"/>
    </xf>
    <xf numFmtId="183" fontId="97" fillId="0" borderId="1" xfId="0" applyFont="1" applyFill="1" applyBorder="1" applyAlignment="1">
      <alignment horizontal="left" vertical="center" wrapText="1"/>
    </xf>
    <xf numFmtId="190" fontId="97" fillId="0" borderId="5" xfId="0" applyNumberFormat="1" applyFont="1" applyFill="1" applyBorder="1" applyAlignment="1">
      <alignment horizontal="center" vertical="center" wrapText="1"/>
    </xf>
    <xf numFmtId="9" fontId="97" fillId="0" borderId="5" xfId="3" applyFont="1" applyFill="1" applyBorder="1" applyAlignment="1">
      <alignment vertical="center" wrapText="1"/>
    </xf>
    <xf numFmtId="196" fontId="97" fillId="0" borderId="5" xfId="3" applyNumberFormat="1" applyFont="1" applyFill="1" applyBorder="1" applyAlignment="1">
      <alignment vertical="center" wrapText="1"/>
    </xf>
    <xf numFmtId="183" fontId="97" fillId="0" borderId="5" xfId="0" applyFont="1" applyFill="1" applyBorder="1" applyAlignment="1">
      <alignment horizontal="left" vertical="center" wrapText="1"/>
    </xf>
    <xf numFmtId="183" fontId="97" fillId="0" borderId="5" xfId="0" applyFont="1" applyFill="1" applyBorder="1" applyAlignment="1">
      <alignment vertical="center" wrapText="1"/>
    </xf>
    <xf numFmtId="183" fontId="97" fillId="0" borderId="1" xfId="0" applyFont="1" applyFill="1" applyBorder="1" applyAlignment="1"/>
    <xf numFmtId="185" fontId="97" fillId="0" borderId="23" xfId="0" applyNumberFormat="1" applyFont="1" applyFill="1" applyBorder="1" applyAlignment="1">
      <alignment horizontal="center" vertical="center"/>
    </xf>
    <xf numFmtId="183" fontId="97" fillId="0" borderId="23" xfId="0" applyFont="1" applyFill="1" applyBorder="1" applyAlignment="1">
      <alignment horizontal="left" vertical="center"/>
    </xf>
    <xf numFmtId="183" fontId="97" fillId="0" borderId="23" xfId="0" applyFont="1" applyFill="1" applyBorder="1" applyAlignment="1">
      <alignment horizontal="center" vertical="center"/>
    </xf>
    <xf numFmtId="183" fontId="97" fillId="0" borderId="23" xfId="0" applyFont="1" applyFill="1" applyBorder="1" applyAlignment="1">
      <alignment horizontal="left" wrapText="1"/>
    </xf>
    <xf numFmtId="183" fontId="97" fillId="0" borderId="23" xfId="0" applyFont="1" applyFill="1" applyBorder="1" applyAlignment="1">
      <alignment wrapText="1"/>
    </xf>
    <xf numFmtId="9" fontId="97" fillId="0" borderId="23" xfId="3" applyFont="1" applyFill="1" applyBorder="1" applyAlignment="1">
      <alignment horizontal="right" vertical="center"/>
    </xf>
    <xf numFmtId="43" fontId="97" fillId="0" borderId="24" xfId="6" applyFont="1" applyFill="1" applyBorder="1" applyAlignment="1">
      <alignment horizontal="right"/>
    </xf>
    <xf numFmtId="43" fontId="97" fillId="0" borderId="25" xfId="6" applyFont="1" applyFill="1" applyBorder="1" applyAlignment="1">
      <alignment horizontal="right"/>
    </xf>
    <xf numFmtId="190" fontId="97" fillId="0" borderId="23" xfId="0" applyNumberFormat="1" applyFont="1" applyFill="1" applyBorder="1" applyAlignment="1">
      <alignment horizontal="center" vertical="center"/>
    </xf>
    <xf numFmtId="183" fontId="97" fillId="0" borderId="13" xfId="0" applyFont="1" applyFill="1" applyBorder="1" applyAlignment="1">
      <alignment horizontal="center" vertical="center" wrapText="1"/>
    </xf>
    <xf numFmtId="183" fontId="97" fillId="0" borderId="1" xfId="0" applyFont="1" applyFill="1" applyBorder="1" applyAlignment="1">
      <alignment horizontal="center" vertical="center" wrapText="1"/>
    </xf>
    <xf numFmtId="190" fontId="97" fillId="0" borderId="23" xfId="0" applyNumberFormat="1" applyFont="1" applyFill="1" applyBorder="1" applyAlignment="1">
      <alignment horizontal="left" vertical="center"/>
    </xf>
    <xf numFmtId="190" fontId="97" fillId="0" borderId="23" xfId="0" applyNumberFormat="1" applyFont="1" applyFill="1" applyBorder="1" applyAlignment="1">
      <alignment horizontal="center" vertical="center" wrapText="1"/>
    </xf>
    <xf numFmtId="196" fontId="97" fillId="0" borderId="23" xfId="3" applyNumberFormat="1" applyFont="1" applyFill="1" applyBorder="1" applyAlignment="1">
      <alignment horizontal="right"/>
    </xf>
    <xf numFmtId="196" fontId="97" fillId="0" borderId="25" xfId="3" applyNumberFormat="1" applyFont="1" applyFill="1" applyBorder="1" applyAlignment="1">
      <alignment horizontal="right"/>
    </xf>
    <xf numFmtId="183" fontId="97" fillId="0" borderId="23" xfId="0" applyFont="1" applyFill="1" applyBorder="1" applyAlignment="1">
      <alignment vertical="center"/>
    </xf>
    <xf numFmtId="10" fontId="97" fillId="0" borderId="23" xfId="3" applyNumberFormat="1" applyFont="1" applyFill="1" applyBorder="1" applyAlignment="1">
      <alignment horizontal="right"/>
    </xf>
    <xf numFmtId="183" fontId="97" fillId="0" borderId="13" xfId="0" applyFont="1" applyFill="1" applyBorder="1" applyAlignment="1"/>
    <xf numFmtId="190" fontId="97" fillId="0" borderId="23" xfId="0" applyNumberFormat="1" applyFont="1" applyFill="1" applyBorder="1" applyAlignment="1">
      <alignment horizontal="left" vertical="center" wrapText="1"/>
    </xf>
    <xf numFmtId="9" fontId="97" fillId="0" borderId="23" xfId="3" applyFont="1" applyFill="1" applyBorder="1" applyAlignment="1">
      <alignment horizontal="right" vertical="center" wrapText="1"/>
    </xf>
    <xf numFmtId="183" fontId="97" fillId="0" borderId="23" xfId="0" applyFont="1" applyFill="1" applyBorder="1" applyAlignment="1">
      <alignment horizontal="left" vertical="top"/>
    </xf>
    <xf numFmtId="190" fontId="97" fillId="0" borderId="23" xfId="0" applyNumberFormat="1" applyFont="1" applyFill="1" applyBorder="1" applyAlignment="1">
      <alignment horizontal="left" vertical="top"/>
    </xf>
    <xf numFmtId="43" fontId="97" fillId="0" borderId="23" xfId="6" applyFont="1" applyFill="1" applyBorder="1" applyAlignment="1">
      <alignment horizontal="right" vertical="top"/>
    </xf>
    <xf numFmtId="9" fontId="97" fillId="0" borderId="23" xfId="3" applyFont="1" applyFill="1" applyBorder="1" applyAlignment="1">
      <alignment horizontal="right" vertical="top"/>
    </xf>
    <xf numFmtId="183" fontId="97" fillId="0" borderId="23" xfId="0" applyFont="1" applyFill="1" applyBorder="1" applyAlignment="1">
      <alignment horizontal="left" vertical="top" wrapText="1"/>
    </xf>
    <xf numFmtId="183" fontId="97" fillId="0" borderId="23" xfId="0" applyFont="1" applyFill="1" applyBorder="1" applyAlignment="1">
      <alignment horizontal="center" wrapText="1"/>
    </xf>
    <xf numFmtId="190" fontId="97" fillId="0" borderId="23" xfId="0" applyNumberFormat="1" applyFont="1" applyFill="1" applyBorder="1" applyAlignment="1">
      <alignment vertical="center"/>
    </xf>
    <xf numFmtId="183" fontId="97" fillId="0" borderId="13" xfId="0" applyFont="1" applyFill="1" applyBorder="1" applyAlignment="1">
      <alignment horizontal="center" vertical="center"/>
    </xf>
    <xf numFmtId="183" fontId="97" fillId="0" borderId="1" xfId="0" applyFont="1" applyFill="1" applyBorder="1" applyAlignment="1">
      <alignment horizontal="center" vertical="center"/>
    </xf>
    <xf numFmtId="183" fontId="97" fillId="0" borderId="23" xfId="0" applyFont="1" applyFill="1" applyBorder="1" applyAlignment="1">
      <alignment horizontal="center"/>
    </xf>
    <xf numFmtId="190" fontId="97" fillId="0" borderId="23" xfId="0" applyNumberFormat="1" applyFont="1" applyFill="1" applyBorder="1" applyAlignment="1">
      <alignment horizontal="left"/>
    </xf>
    <xf numFmtId="43" fontId="97" fillId="0" borderId="24" xfId="6" applyFont="1" applyFill="1" applyBorder="1" applyAlignment="1">
      <alignment horizontal="right" vertical="center" wrapText="1"/>
    </xf>
    <xf numFmtId="43" fontId="97" fillId="0" borderId="25" xfId="6" applyFont="1" applyFill="1" applyBorder="1" applyAlignment="1">
      <alignment horizontal="right" vertical="center" wrapText="1"/>
    </xf>
    <xf numFmtId="183" fontId="99" fillId="0" borderId="23" xfId="0" applyFont="1" applyFill="1" applyBorder="1" applyAlignment="1">
      <alignment horizontal="left" vertical="center" wrapText="1"/>
    </xf>
    <xf numFmtId="190" fontId="100" fillId="0" borderId="23" xfId="0" applyNumberFormat="1" applyFont="1" applyFill="1" applyBorder="1" applyAlignment="1">
      <alignment horizontal="left" vertical="center" wrapText="1"/>
    </xf>
    <xf numFmtId="185" fontId="98" fillId="0" borderId="23" xfId="0" applyNumberFormat="1" applyFont="1" applyFill="1" applyBorder="1" applyAlignment="1">
      <alignment horizontal="center" vertical="center" wrapText="1"/>
    </xf>
    <xf numFmtId="183" fontId="98" fillId="0" borderId="23" xfId="0" applyFont="1" applyFill="1" applyBorder="1" applyAlignment="1">
      <alignment horizontal="left" vertical="center" wrapText="1"/>
    </xf>
    <xf numFmtId="183" fontId="98" fillId="0" borderId="23" xfId="0" applyFont="1" applyFill="1" applyBorder="1" applyAlignment="1">
      <alignment horizontal="center" vertical="center" wrapText="1"/>
    </xf>
    <xf numFmtId="183" fontId="98" fillId="0" borderId="23" xfId="0" applyFont="1" applyFill="1" applyBorder="1" applyAlignment="1">
      <alignment horizontal="left" wrapText="1"/>
    </xf>
    <xf numFmtId="183" fontId="98" fillId="0" borderId="23" xfId="0" applyFont="1" applyFill="1" applyBorder="1" applyAlignment="1">
      <alignment horizontal="center" vertical="center"/>
    </xf>
    <xf numFmtId="190" fontId="98" fillId="0" borderId="23" xfId="0" applyNumberFormat="1" applyFont="1" applyFill="1" applyBorder="1" applyAlignment="1">
      <alignment horizontal="center" vertical="center" wrapText="1"/>
    </xf>
    <xf numFmtId="43" fontId="98" fillId="0" borderId="23" xfId="6" applyFont="1" applyFill="1" applyBorder="1" applyAlignment="1">
      <alignment horizontal="right" vertical="center" wrapText="1"/>
    </xf>
    <xf numFmtId="9" fontId="98" fillId="0" borderId="23" xfId="3" applyFont="1" applyFill="1" applyBorder="1" applyAlignment="1">
      <alignment horizontal="right" vertical="center" wrapText="1"/>
    </xf>
    <xf numFmtId="183" fontId="98" fillId="0" borderId="0" xfId="0" applyFont="1" applyFill="1" applyBorder="1" applyAlignment="1"/>
    <xf numFmtId="186" fontId="97" fillId="0" borderId="23" xfId="0" applyNumberFormat="1" applyFont="1" applyFill="1" applyBorder="1" applyAlignment="1">
      <alignment horizontal="center" vertical="center"/>
    </xf>
    <xf numFmtId="43" fontId="97" fillId="0" borderId="23" xfId="6" applyFont="1" applyFill="1" applyBorder="1" applyAlignment="1">
      <alignment horizontal="right" wrapText="1"/>
    </xf>
    <xf numFmtId="178" fontId="97" fillId="0" borderId="23" xfId="0" applyNumberFormat="1" applyFont="1" applyFill="1" applyBorder="1" applyAlignment="1">
      <alignment horizontal="center" vertical="center" wrapText="1"/>
    </xf>
    <xf numFmtId="183" fontId="98" fillId="0" borderId="23" xfId="5" applyFont="1" applyFill="1" applyBorder="1" applyAlignment="1">
      <alignment horizontal="left" vertical="center"/>
    </xf>
    <xf numFmtId="43" fontId="97" fillId="0" borderId="24" xfId="6" applyFont="1" applyFill="1" applyBorder="1" applyAlignment="1">
      <alignment horizontal="right" vertical="center"/>
    </xf>
    <xf numFmtId="43" fontId="97" fillId="0" borderId="25" xfId="6" applyFont="1" applyFill="1" applyBorder="1" applyAlignment="1">
      <alignment horizontal="right" vertical="center"/>
    </xf>
    <xf numFmtId="178" fontId="97" fillId="0" borderId="23" xfId="0" applyNumberFormat="1" applyFont="1" applyFill="1" applyBorder="1" applyAlignment="1">
      <alignment horizontal="left"/>
    </xf>
    <xf numFmtId="178" fontId="97" fillId="0" borderId="23" xfId="0" applyNumberFormat="1" applyFont="1" applyFill="1" applyBorder="1" applyAlignment="1"/>
    <xf numFmtId="178" fontId="97" fillId="0" borderId="23" xfId="0" applyNumberFormat="1" applyFont="1" applyFill="1" applyBorder="1" applyAlignment="1">
      <alignment vertical="center" wrapText="1"/>
    </xf>
    <xf numFmtId="58" fontId="97" fillId="0" borderId="23" xfId="0" applyNumberFormat="1" applyFont="1" applyFill="1" applyBorder="1" applyAlignment="1">
      <alignment horizontal="left"/>
    </xf>
    <xf numFmtId="190" fontId="100" fillId="0" borderId="23" xfId="0" applyNumberFormat="1" applyFont="1" applyFill="1" applyBorder="1" applyAlignment="1">
      <alignment vertical="center" wrapText="1"/>
    </xf>
    <xf numFmtId="190" fontId="98" fillId="0" borderId="23" xfId="0" applyNumberFormat="1" applyFont="1" applyFill="1" applyBorder="1" applyAlignment="1">
      <alignment horizontal="left" vertical="center" wrapText="1"/>
    </xf>
    <xf numFmtId="43" fontId="97" fillId="0" borderId="23" xfId="6" applyFont="1" applyFill="1" applyBorder="1" applyAlignment="1"/>
    <xf numFmtId="43" fontId="97" fillId="0" borderId="24" xfId="6" applyFont="1" applyFill="1" applyBorder="1" applyAlignment="1"/>
    <xf numFmtId="43" fontId="97" fillId="0" borderId="25" xfId="6" applyFont="1" applyFill="1" applyBorder="1" applyAlignment="1"/>
    <xf numFmtId="9" fontId="97" fillId="0" borderId="0" xfId="3" applyFont="1" applyFill="1" applyBorder="1" applyAlignment="1"/>
    <xf numFmtId="194" fontId="97" fillId="0" borderId="23" xfId="0" applyNumberFormat="1" applyFont="1" applyFill="1" applyBorder="1" applyAlignment="1">
      <alignment horizontal="left" vertical="center" wrapText="1"/>
    </xf>
    <xf numFmtId="190" fontId="97" fillId="0" borderId="24" xfId="0" applyNumberFormat="1" applyFont="1" applyFill="1" applyBorder="1" applyAlignment="1"/>
    <xf numFmtId="190" fontId="97" fillId="0" borderId="25" xfId="0" applyNumberFormat="1" applyFont="1" applyFill="1" applyBorder="1" applyAlignment="1"/>
    <xf numFmtId="185" fontId="97" fillId="0" borderId="23" xfId="0" applyNumberFormat="1" applyFont="1" applyFill="1" applyBorder="1" applyAlignment="1">
      <alignment horizontal="left"/>
    </xf>
    <xf numFmtId="43" fontId="97" fillId="0" borderId="23" xfId="6" applyFont="1" applyFill="1" applyBorder="1" applyAlignment="1">
      <alignment horizontal="left" vertical="center"/>
    </xf>
    <xf numFmtId="178" fontId="97" fillId="0" borderId="23" xfId="0" applyNumberFormat="1" applyFont="1" applyFill="1" applyBorder="1" applyAlignment="1">
      <alignment vertical="center"/>
    </xf>
    <xf numFmtId="43" fontId="97" fillId="0" borderId="23" xfId="6" applyFont="1" applyFill="1" applyBorder="1" applyAlignment="1">
      <alignment vertical="center" wrapText="1"/>
    </xf>
    <xf numFmtId="43" fontId="97" fillId="0" borderId="24" xfId="6" applyFont="1" applyFill="1" applyBorder="1" applyAlignment="1">
      <alignment vertical="center" wrapText="1"/>
    </xf>
    <xf numFmtId="43" fontId="97" fillId="0" borderId="25" xfId="6" applyFont="1" applyFill="1" applyBorder="1" applyAlignment="1">
      <alignment vertical="center" wrapText="1"/>
    </xf>
    <xf numFmtId="9" fontId="97" fillId="0" borderId="23" xfId="3" applyFont="1" applyFill="1" applyBorder="1" applyAlignment="1">
      <alignment horizontal="left" vertical="center" wrapText="1"/>
    </xf>
    <xf numFmtId="190" fontId="97" fillId="0" borderId="23" xfId="0" applyNumberFormat="1" applyFont="1" applyFill="1" applyBorder="1" applyAlignment="1">
      <alignment horizontal="center"/>
    </xf>
    <xf numFmtId="183" fontId="97" fillId="0" borderId="25" xfId="0" applyFont="1" applyFill="1" applyBorder="1" applyAlignment="1"/>
    <xf numFmtId="190" fontId="97" fillId="0" borderId="25" xfId="0" applyNumberFormat="1" applyFont="1" applyFill="1" applyBorder="1" applyAlignment="1">
      <alignment horizontal="center"/>
    </xf>
    <xf numFmtId="183" fontId="97" fillId="0" borderId="25" xfId="0" applyFont="1" applyFill="1" applyBorder="1" applyAlignment="1">
      <alignment horizontal="left"/>
    </xf>
    <xf numFmtId="185" fontId="97" fillId="0" borderId="0" xfId="0" applyNumberFormat="1" applyFont="1" applyFill="1" applyBorder="1" applyAlignment="1">
      <alignment horizontal="center" vertical="center"/>
    </xf>
    <xf numFmtId="183" fontId="97" fillId="0" borderId="0" xfId="0" applyFont="1" applyFill="1" applyBorder="1" applyAlignment="1">
      <alignment horizontal="left"/>
    </xf>
    <xf numFmtId="183" fontId="97" fillId="0" borderId="0" xfId="0" applyFont="1" applyFill="1" applyBorder="1" applyAlignment="1">
      <alignment horizontal="center"/>
    </xf>
    <xf numFmtId="183" fontId="97" fillId="0" borderId="0" xfId="0" applyFont="1" applyFill="1" applyBorder="1" applyAlignment="1">
      <alignment horizontal="left" vertical="center" wrapText="1"/>
    </xf>
    <xf numFmtId="190" fontId="97" fillId="0" borderId="0" xfId="0" applyNumberFormat="1" applyFont="1" applyFill="1" applyBorder="1" applyAlignment="1">
      <alignment horizontal="center"/>
    </xf>
    <xf numFmtId="183" fontId="97" fillId="0" borderId="0" xfId="0" applyFont="1" applyFill="1" applyBorder="1" applyAlignment="1">
      <alignment horizontal="left" vertical="center"/>
    </xf>
    <xf numFmtId="196" fontId="97" fillId="0" borderId="0" xfId="3" applyNumberFormat="1" applyFont="1" applyFill="1" applyBorder="1" applyAlignment="1"/>
    <xf numFmtId="183" fontId="97" fillId="14" borderId="23" xfId="0" applyFont="1" applyFill="1" applyBorder="1" applyAlignment="1">
      <alignment vertical="center"/>
    </xf>
    <xf numFmtId="43" fontId="97" fillId="14" borderId="23" xfId="6" applyFont="1" applyFill="1" applyBorder="1" applyAlignment="1">
      <alignment vertical="center"/>
    </xf>
    <xf numFmtId="183" fontId="0" fillId="14" borderId="8" xfId="0" applyFill="1" applyBorder="1" applyAlignment="1">
      <alignment horizontal="left" vertical="center" wrapText="1"/>
    </xf>
    <xf numFmtId="185" fontId="97" fillId="0" borderId="26" xfId="0" applyNumberFormat="1" applyFont="1" applyFill="1" applyBorder="1" applyAlignment="1">
      <alignment horizontal="center" vertical="center"/>
    </xf>
    <xf numFmtId="183" fontId="97" fillId="0" borderId="26" xfId="0" applyFont="1" applyFill="1" applyBorder="1" applyAlignment="1">
      <alignment horizontal="left"/>
    </xf>
    <xf numFmtId="183" fontId="97" fillId="0" borderId="26" xfId="0" applyFont="1" applyFill="1" applyBorder="1" applyAlignment="1">
      <alignment horizontal="center"/>
    </xf>
    <xf numFmtId="183" fontId="97" fillId="0" borderId="26" xfId="0" applyFont="1" applyFill="1" applyBorder="1" applyAlignment="1"/>
    <xf numFmtId="190" fontId="97" fillId="0" borderId="26" xfId="0" applyNumberFormat="1" applyFont="1" applyFill="1" applyBorder="1" applyAlignment="1"/>
    <xf numFmtId="190" fontId="97" fillId="0" borderId="26" xfId="0" applyNumberFormat="1" applyFont="1" applyFill="1" applyBorder="1" applyAlignment="1">
      <alignment horizontal="center"/>
    </xf>
    <xf numFmtId="43" fontId="97" fillId="6" borderId="23" xfId="6" applyFont="1" applyFill="1" applyBorder="1" applyAlignment="1">
      <alignment horizontal="right" vertical="center"/>
    </xf>
    <xf numFmtId="43" fontId="97" fillId="6" borderId="23" xfId="6" applyFont="1" applyFill="1" applyBorder="1" applyAlignment="1">
      <alignment horizontal="right"/>
    </xf>
    <xf numFmtId="190" fontId="97" fillId="11" borderId="5" xfId="0" applyNumberFormat="1" applyFont="1" applyFill="1" applyBorder="1" applyAlignment="1">
      <alignment vertical="center" wrapText="1"/>
    </xf>
    <xf numFmtId="43" fontId="97" fillId="11" borderId="24" xfId="6" applyFont="1" applyFill="1" applyBorder="1" applyAlignment="1">
      <alignment horizontal="right"/>
    </xf>
    <xf numFmtId="43" fontId="97" fillId="11" borderId="24" xfId="6" applyFont="1" applyFill="1" applyBorder="1" applyAlignment="1">
      <alignment horizontal="right" vertical="center" wrapText="1"/>
    </xf>
    <xf numFmtId="190" fontId="33" fillId="11" borderId="23" xfId="0" applyNumberFormat="1" applyFont="1" applyFill="1" applyBorder="1" applyAlignment="1"/>
    <xf numFmtId="43" fontId="97" fillId="11" borderId="24" xfId="6" applyFont="1" applyFill="1" applyBorder="1" applyAlignment="1">
      <alignment horizontal="right" vertical="center"/>
    </xf>
    <xf numFmtId="190" fontId="97" fillId="11" borderId="24" xfId="0" applyNumberFormat="1" applyFont="1" applyFill="1" applyBorder="1" applyAlignment="1"/>
    <xf numFmtId="190" fontId="97" fillId="11" borderId="26" xfId="0" applyNumberFormat="1" applyFont="1" applyFill="1" applyBorder="1" applyAlignment="1"/>
    <xf numFmtId="190" fontId="97" fillId="11" borderId="0" xfId="0" applyNumberFormat="1" applyFont="1" applyFill="1" applyBorder="1" applyAlignment="1"/>
    <xf numFmtId="196" fontId="97" fillId="27" borderId="23" xfId="3" applyNumberFormat="1" applyFont="1" applyFill="1" applyBorder="1" applyAlignment="1">
      <alignment horizontal="right"/>
    </xf>
    <xf numFmtId="9" fontId="97" fillId="5" borderId="23" xfId="3" applyFont="1" applyFill="1" applyBorder="1" applyAlignment="1">
      <alignment horizontal="right" vertical="center"/>
    </xf>
    <xf numFmtId="196" fontId="102" fillId="27" borderId="23" xfId="3" applyNumberFormat="1" applyFont="1" applyFill="1" applyBorder="1" applyAlignment="1">
      <alignment horizontal="right"/>
    </xf>
    <xf numFmtId="190" fontId="97" fillId="31" borderId="5" xfId="0" applyNumberFormat="1" applyFont="1" applyFill="1" applyBorder="1" applyAlignment="1">
      <alignment vertical="center" wrapText="1"/>
    </xf>
    <xf numFmtId="43" fontId="97" fillId="31" borderId="23" xfId="6" applyFont="1" applyFill="1" applyBorder="1" applyAlignment="1">
      <alignment horizontal="right"/>
    </xf>
    <xf numFmtId="43" fontId="97" fillId="31" borderId="23" xfId="6" applyFont="1" applyFill="1" applyBorder="1" applyAlignment="1">
      <alignment horizontal="right" vertical="center"/>
    </xf>
    <xf numFmtId="190" fontId="97" fillId="31" borderId="0" xfId="0" applyNumberFormat="1" applyFont="1" applyFill="1" applyBorder="1" applyAlignment="1"/>
    <xf numFmtId="183" fontId="103" fillId="0" borderId="0" xfId="7" applyFont="1" applyFill="1" applyAlignment="1">
      <alignment vertical="center"/>
    </xf>
    <xf numFmtId="43" fontId="103" fillId="0" borderId="0" xfId="8" applyFont="1">
      <alignment vertical="center"/>
    </xf>
    <xf numFmtId="183" fontId="103" fillId="0" borderId="0" xfId="7" applyFont="1" applyFill="1" applyAlignment="1">
      <alignment horizontal="left" vertical="center"/>
    </xf>
    <xf numFmtId="183" fontId="103" fillId="0" borderId="0" xfId="7" applyFont="1" applyFill="1" applyAlignment="1">
      <alignment horizontal="center" vertical="center"/>
    </xf>
    <xf numFmtId="43" fontId="103" fillId="0" borderId="26" xfId="8" applyFont="1" applyFill="1" applyBorder="1">
      <alignment vertical="center"/>
    </xf>
    <xf numFmtId="183" fontId="103" fillId="0" borderId="26" xfId="7" applyFont="1" applyFill="1" applyBorder="1" applyAlignment="1">
      <alignment vertical="center"/>
    </xf>
    <xf numFmtId="43" fontId="103" fillId="27" borderId="26" xfId="8" applyFont="1" applyFill="1" applyBorder="1">
      <alignment vertical="center"/>
    </xf>
    <xf numFmtId="43" fontId="104" fillId="0" borderId="26" xfId="8" applyFont="1" applyFill="1" applyBorder="1">
      <alignment vertical="center"/>
    </xf>
    <xf numFmtId="43" fontId="104" fillId="5" borderId="26" xfId="8" applyFont="1" applyFill="1" applyBorder="1">
      <alignment vertical="center"/>
    </xf>
    <xf numFmtId="183" fontId="104" fillId="5" borderId="26" xfId="7" applyFont="1" applyFill="1" applyBorder="1" applyAlignment="1">
      <alignment vertical="center"/>
    </xf>
    <xf numFmtId="14" fontId="104" fillId="5" borderId="26" xfId="7" applyNumberFormat="1" applyFont="1" applyFill="1" applyBorder="1" applyAlignment="1">
      <alignment vertical="center"/>
    </xf>
    <xf numFmtId="183" fontId="104" fillId="0" borderId="26" xfId="7" applyFont="1" applyFill="1" applyBorder="1" applyAlignment="1">
      <alignment vertical="center"/>
    </xf>
    <xf numFmtId="43" fontId="104" fillId="32" borderId="26" xfId="8" applyFont="1" applyFill="1" applyBorder="1">
      <alignment vertical="center"/>
    </xf>
    <xf numFmtId="183" fontId="104" fillId="32" borderId="26" xfId="7" applyFont="1" applyFill="1" applyBorder="1" applyAlignment="1">
      <alignment vertical="center"/>
    </xf>
    <xf numFmtId="14" fontId="104" fillId="32" borderId="26" xfId="7" applyNumberFormat="1" applyFont="1" applyFill="1" applyBorder="1" applyAlignment="1">
      <alignment vertical="center"/>
    </xf>
    <xf numFmtId="14" fontId="104" fillId="0" borderId="26" xfId="7" applyNumberFormat="1" applyFont="1" applyFill="1" applyBorder="1" applyAlignment="1">
      <alignment vertical="center"/>
    </xf>
    <xf numFmtId="183" fontId="104" fillId="0" borderId="26" xfId="8" applyNumberFormat="1" applyFont="1" applyFill="1" applyBorder="1">
      <alignment vertical="center"/>
    </xf>
    <xf numFmtId="43" fontId="103" fillId="0" borderId="26" xfId="8" applyFont="1" applyBorder="1">
      <alignment vertical="center"/>
    </xf>
    <xf numFmtId="183" fontId="103" fillId="0" borderId="26" xfId="7" applyFont="1" applyFill="1" applyBorder="1" applyAlignment="1">
      <alignment horizontal="center" vertical="center"/>
    </xf>
    <xf numFmtId="43" fontId="103" fillId="0" borderId="26" xfId="8" applyFont="1" applyBorder="1" applyAlignment="1">
      <alignment horizontal="center" vertical="center"/>
    </xf>
    <xf numFmtId="14" fontId="103" fillId="0" borderId="26" xfId="7" applyNumberFormat="1" applyFont="1" applyFill="1" applyBorder="1" applyAlignment="1">
      <alignment horizontal="left" vertical="center"/>
    </xf>
    <xf numFmtId="14" fontId="103" fillId="0" borderId="26" xfId="7" applyNumberFormat="1" applyFont="1" applyFill="1" applyBorder="1" applyAlignment="1">
      <alignment horizontal="center" vertical="center"/>
    </xf>
    <xf numFmtId="43" fontId="103" fillId="32" borderId="26" xfId="8" applyFont="1" applyFill="1" applyBorder="1" applyAlignment="1">
      <alignment horizontal="center" vertical="center"/>
    </xf>
    <xf numFmtId="14" fontId="103" fillId="32" borderId="26" xfId="7" applyNumberFormat="1" applyFont="1" applyFill="1" applyBorder="1" applyAlignment="1">
      <alignment horizontal="left" vertical="center"/>
    </xf>
    <xf numFmtId="14" fontId="103" fillId="32" borderId="26" xfId="7" applyNumberFormat="1" applyFont="1" applyFill="1" applyBorder="1" applyAlignment="1">
      <alignment horizontal="center" vertical="center"/>
    </xf>
    <xf numFmtId="43" fontId="103" fillId="0" borderId="26" xfId="8" applyFont="1" applyFill="1" applyBorder="1" applyAlignment="1">
      <alignment horizontal="center" vertical="center"/>
    </xf>
    <xf numFmtId="43" fontId="103" fillId="5" borderId="26" xfId="8" applyFont="1" applyFill="1" applyBorder="1" applyAlignment="1">
      <alignment horizontal="center" vertical="center"/>
    </xf>
    <xf numFmtId="14" fontId="103" fillId="5" borderId="26" xfId="7" applyNumberFormat="1" applyFont="1" applyFill="1" applyBorder="1" applyAlignment="1">
      <alignment horizontal="left" vertical="center"/>
    </xf>
    <xf numFmtId="14" fontId="103" fillId="5" borderId="26" xfId="7" applyNumberFormat="1" applyFont="1" applyFill="1" applyBorder="1" applyAlignment="1">
      <alignment horizontal="center" vertical="center"/>
    </xf>
    <xf numFmtId="183" fontId="103" fillId="5" borderId="26" xfId="7" applyFont="1" applyFill="1" applyBorder="1" applyAlignment="1">
      <alignment horizontal="center" vertical="center"/>
    </xf>
    <xf numFmtId="43" fontId="103" fillId="32" borderId="26" xfId="8" applyFont="1" applyFill="1" applyBorder="1">
      <alignment vertical="center"/>
    </xf>
    <xf numFmtId="183" fontId="104" fillId="0" borderId="0" xfId="7" applyFont="1" applyFill="1" applyAlignment="1">
      <alignment vertical="center"/>
    </xf>
    <xf numFmtId="183" fontId="103" fillId="0" borderId="0" xfId="7" applyFont="1" applyFill="1" applyAlignment="1"/>
    <xf numFmtId="43" fontId="104" fillId="0" borderId="26" xfId="8" applyFont="1" applyFill="1" applyBorder="1" applyAlignment="1">
      <alignment horizontal="center" vertical="center"/>
    </xf>
    <xf numFmtId="197" fontId="104" fillId="0" borderId="26" xfId="7" applyNumberFormat="1" applyFont="1" applyFill="1" applyBorder="1" applyAlignment="1">
      <alignment horizontal="center" vertical="center"/>
    </xf>
    <xf numFmtId="183" fontId="104" fillId="0" borderId="26" xfId="7" applyFont="1" applyFill="1" applyBorder="1" applyAlignment="1">
      <alignment horizontal="center" vertical="center"/>
    </xf>
    <xf numFmtId="183" fontId="104" fillId="0" borderId="26" xfId="7" applyFont="1" applyFill="1" applyBorder="1" applyAlignment="1">
      <alignment horizontal="left" vertical="center"/>
    </xf>
    <xf numFmtId="43" fontId="103" fillId="0" borderId="4" xfId="8" applyFont="1" applyBorder="1" applyAlignment="1"/>
    <xf numFmtId="183" fontId="104" fillId="0" borderId="4" xfId="7" applyFont="1" applyFill="1" applyBorder="1" applyAlignment="1">
      <alignment vertical="center"/>
    </xf>
    <xf numFmtId="183" fontId="104" fillId="0" borderId="4" xfId="7" applyFont="1" applyFill="1" applyBorder="1" applyAlignment="1">
      <alignment horizontal="center" vertical="center"/>
    </xf>
    <xf numFmtId="183" fontId="0" fillId="3" borderId="8" xfId="0" applyFill="1" applyBorder="1" applyAlignment="1">
      <alignment horizontal="left" vertical="center"/>
    </xf>
    <xf numFmtId="183" fontId="0" fillId="3" borderId="23" xfId="0" applyFill="1" applyBorder="1" applyAlignment="1">
      <alignment horizontal="left" vertical="center"/>
    </xf>
    <xf numFmtId="183" fontId="4" fillId="3" borderId="23" xfId="0" applyFont="1" applyFill="1" applyBorder="1" applyAlignment="1">
      <alignment horizontal="left" vertical="center"/>
    </xf>
    <xf numFmtId="183" fontId="4" fillId="3" borderId="1" xfId="0" applyFont="1" applyFill="1" applyBorder="1" applyAlignment="1">
      <alignment horizontal="left" vertical="center" wrapText="1"/>
    </xf>
    <xf numFmtId="190" fontId="97" fillId="32" borderId="5" xfId="0" applyNumberFormat="1" applyFont="1" applyFill="1" applyBorder="1" applyAlignment="1">
      <alignment vertical="center" wrapText="1"/>
    </xf>
    <xf numFmtId="43" fontId="97" fillId="32" borderId="23" xfId="6" applyFont="1" applyFill="1" applyBorder="1" applyAlignment="1">
      <alignment horizontal="right"/>
    </xf>
    <xf numFmtId="43" fontId="97" fillId="32" borderId="23" xfId="6" applyFont="1" applyFill="1" applyBorder="1" applyAlignment="1">
      <alignment horizontal="right" vertical="center" wrapText="1"/>
    </xf>
    <xf numFmtId="43" fontId="97" fillId="32" borderId="23" xfId="6" applyFont="1" applyFill="1" applyBorder="1" applyAlignment="1">
      <alignment horizontal="right" vertical="center"/>
    </xf>
    <xf numFmtId="43" fontId="98" fillId="32" borderId="23" xfId="6" applyFont="1" applyFill="1" applyBorder="1" applyAlignment="1">
      <alignment horizontal="right" vertical="center" wrapText="1"/>
    </xf>
    <xf numFmtId="43" fontId="97" fillId="32" borderId="23" xfId="6" applyFont="1" applyFill="1" applyBorder="1" applyAlignment="1"/>
    <xf numFmtId="190" fontId="97" fillId="32" borderId="23" xfId="0" applyNumberFormat="1" applyFont="1" applyFill="1" applyBorder="1" applyAlignment="1"/>
    <xf numFmtId="43" fontId="97" fillId="32" borderId="23" xfId="6" applyFont="1" applyFill="1" applyBorder="1" applyAlignment="1">
      <alignment vertical="center" wrapText="1"/>
    </xf>
    <xf numFmtId="190" fontId="97" fillId="32" borderId="26" xfId="0" applyNumberFormat="1" applyFont="1" applyFill="1" applyBorder="1" applyAlignment="1"/>
    <xf numFmtId="190" fontId="97" fillId="32" borderId="25" xfId="0" applyNumberFormat="1" applyFont="1" applyFill="1" applyBorder="1" applyAlignment="1"/>
    <xf numFmtId="190" fontId="97" fillId="32" borderId="0" xfId="0" applyNumberFormat="1" applyFont="1" applyFill="1" applyBorder="1" applyAlignment="1"/>
    <xf numFmtId="190" fontId="33" fillId="11" borderId="25" xfId="0" applyNumberFormat="1" applyFont="1" applyFill="1" applyBorder="1" applyAlignment="1"/>
    <xf numFmtId="43" fontId="97" fillId="11" borderId="24" xfId="6" applyFont="1" applyFill="1" applyBorder="1" applyAlignment="1"/>
    <xf numFmtId="43" fontId="97" fillId="11" borderId="24" xfId="6" applyFont="1" applyFill="1" applyBorder="1" applyAlignment="1">
      <alignment vertical="center" wrapText="1"/>
    </xf>
    <xf numFmtId="190" fontId="97" fillId="11" borderId="25" xfId="0" applyNumberFormat="1" applyFont="1" applyFill="1" applyBorder="1" applyAlignment="1"/>
    <xf numFmtId="183" fontId="97" fillId="0" borderId="23" xfId="5" applyFont="1" applyFill="1" applyBorder="1" applyAlignment="1">
      <alignment horizontal="left" vertical="center"/>
    </xf>
    <xf numFmtId="9" fontId="97" fillId="0" borderId="26" xfId="3" applyFont="1" applyFill="1" applyBorder="1" applyAlignment="1"/>
    <xf numFmtId="2" fontId="6" fillId="3" borderId="1" xfId="0" applyNumberFormat="1" applyFont="1" applyFill="1" applyBorder="1" applyAlignment="1">
      <alignment horizontal="center"/>
    </xf>
    <xf numFmtId="183" fontId="6" fillId="5" borderId="1" xfId="0" applyFont="1" applyFill="1" applyBorder="1" applyAlignment="1">
      <alignment horizontal="center"/>
    </xf>
    <xf numFmtId="183" fontId="6" fillId="5" borderId="1" xfId="0" applyNumberFormat="1" applyFont="1" applyFill="1" applyBorder="1" applyAlignment="1">
      <alignment horizontal="center"/>
    </xf>
    <xf numFmtId="183" fontId="6" fillId="5" borderId="1" xfId="0" applyNumberFormat="1" applyFont="1" applyFill="1" applyBorder="1" applyAlignment="1">
      <alignment wrapText="1"/>
    </xf>
    <xf numFmtId="2" fontId="6" fillId="5" borderId="1" xfId="0" applyNumberFormat="1" applyFont="1" applyFill="1" applyBorder="1" applyAlignment="1">
      <alignment horizontal="center"/>
    </xf>
    <xf numFmtId="183" fontId="4" fillId="5" borderId="0" xfId="0" applyFont="1" applyFill="1" applyAlignment="1"/>
    <xf numFmtId="183" fontId="4" fillId="5" borderId="27" xfId="0" applyFont="1" applyFill="1" applyBorder="1">
      <alignment vertical="center"/>
    </xf>
    <xf numFmtId="183" fontId="0" fillId="0" borderId="28" xfId="0" applyBorder="1">
      <alignment vertical="center"/>
    </xf>
    <xf numFmtId="183" fontId="18" fillId="0" borderId="28" xfId="0" applyFont="1" applyBorder="1">
      <alignment vertical="center"/>
    </xf>
    <xf numFmtId="183" fontId="4" fillId="0" borderId="28" xfId="0" applyFont="1" applyBorder="1">
      <alignment vertical="center"/>
    </xf>
    <xf numFmtId="43" fontId="0" fillId="0" borderId="28" xfId="6" applyFont="1" applyBorder="1">
      <alignment vertical="center"/>
    </xf>
    <xf numFmtId="183" fontId="0" fillId="0" borderId="28" xfId="0" applyBorder="1" applyAlignment="1">
      <alignment horizontal="center" vertical="center"/>
    </xf>
    <xf numFmtId="183" fontId="18" fillId="0" borderId="6" xfId="0" applyFont="1" applyFill="1" applyBorder="1">
      <alignment vertical="center"/>
    </xf>
    <xf numFmtId="43" fontId="18" fillId="0" borderId="29" xfId="6" applyFont="1" applyBorder="1">
      <alignment vertical="center"/>
    </xf>
    <xf numFmtId="183" fontId="0" fillId="3" borderId="28" xfId="0" applyFill="1" applyBorder="1" applyAlignment="1">
      <alignment horizontal="center" vertical="center"/>
    </xf>
    <xf numFmtId="183" fontId="0" fillId="3" borderId="34" xfId="0" applyFill="1" applyBorder="1" applyAlignment="1">
      <alignment horizontal="center" vertical="center"/>
    </xf>
    <xf numFmtId="183" fontId="0" fillId="0" borderId="34" xfId="0" applyBorder="1">
      <alignment vertical="center"/>
    </xf>
    <xf numFmtId="43" fontId="0" fillId="0" borderId="34" xfId="6" applyFont="1" applyBorder="1">
      <alignment vertical="center"/>
    </xf>
    <xf numFmtId="183" fontId="4" fillId="0" borderId="34" xfId="0" applyFont="1" applyBorder="1">
      <alignment vertical="center"/>
    </xf>
    <xf numFmtId="183" fontId="18" fillId="0" borderId="34" xfId="0" applyFont="1" applyBorder="1">
      <alignment vertical="center"/>
    </xf>
    <xf numFmtId="183" fontId="0" fillId="0" borderId="34" xfId="0" applyBorder="1" applyAlignment="1">
      <alignment horizontal="center" vertical="center"/>
    </xf>
    <xf numFmtId="183" fontId="18" fillId="0" borderId="28" xfId="0" applyFont="1" applyBorder="1" applyAlignment="1">
      <alignment horizontal="center" vertical="center"/>
    </xf>
    <xf numFmtId="0" fontId="0" fillId="0" borderId="34" xfId="0" applyNumberFormat="1" applyBorder="1" applyAlignment="1">
      <alignment horizontal="center" vertical="center"/>
    </xf>
    <xf numFmtId="183" fontId="97" fillId="0" borderId="1" xfId="0" applyFont="1" applyFill="1" applyBorder="1" applyAlignment="1">
      <alignment horizontal="left" vertical="top" wrapText="1"/>
    </xf>
    <xf numFmtId="190" fontId="97" fillId="0" borderId="20" xfId="0" applyNumberFormat="1" applyFont="1" applyFill="1" applyBorder="1" applyAlignment="1">
      <alignment horizontal="left" vertical="top" wrapText="1"/>
    </xf>
    <xf numFmtId="190" fontId="97" fillId="0" borderId="19" xfId="0" applyNumberFormat="1" applyFont="1" applyFill="1" applyBorder="1" applyAlignment="1">
      <alignment horizontal="left" vertical="top" wrapText="1"/>
    </xf>
    <xf numFmtId="190" fontId="97" fillId="0" borderId="13" xfId="0" applyNumberFormat="1" applyFont="1" applyFill="1" applyBorder="1" applyAlignment="1">
      <alignment horizontal="left" vertical="top" wrapText="1"/>
    </xf>
    <xf numFmtId="183" fontId="97" fillId="0" borderId="20" xfId="0" applyFont="1" applyFill="1" applyBorder="1" applyAlignment="1">
      <alignment horizontal="center" vertical="top" wrapText="1"/>
    </xf>
    <xf numFmtId="183" fontId="97" fillId="0" borderId="19" xfId="0" applyFont="1" applyFill="1" applyBorder="1" applyAlignment="1">
      <alignment horizontal="center" vertical="top" wrapText="1"/>
    </xf>
    <xf numFmtId="183" fontId="97" fillId="0" borderId="13" xfId="0" applyFont="1" applyFill="1" applyBorder="1" applyAlignment="1">
      <alignment horizontal="center" vertical="top" wrapText="1"/>
    </xf>
    <xf numFmtId="183" fontId="80" fillId="19" borderId="0" xfId="2" applyFont="1" applyFill="1" applyAlignment="1">
      <alignment horizontal="center" vertical="center"/>
    </xf>
    <xf numFmtId="183" fontId="0" fillId="15" borderId="1" xfId="0" applyFont="1" applyFill="1" applyBorder="1" applyAlignment="1">
      <alignment horizontal="center" vertical="center"/>
    </xf>
    <xf numFmtId="183" fontId="0" fillId="12" borderId="1" xfId="0" applyFill="1" applyBorder="1" applyAlignment="1">
      <alignment horizontal="center" vertical="center"/>
    </xf>
    <xf numFmtId="183" fontId="0" fillId="25" borderId="1" xfId="0" applyFill="1" applyBorder="1" applyAlignment="1">
      <alignment horizontal="center" vertical="center"/>
    </xf>
    <xf numFmtId="183" fontId="0" fillId="24" borderId="1" xfId="0" applyFill="1" applyBorder="1" applyAlignment="1">
      <alignment horizontal="center" vertical="center"/>
    </xf>
    <xf numFmtId="183" fontId="0" fillId="14" borderId="1" xfId="0" applyFill="1" applyBorder="1" applyAlignment="1">
      <alignment horizontal="center" vertical="center"/>
    </xf>
    <xf numFmtId="183" fontId="0" fillId="17" borderId="1" xfId="0" applyFill="1" applyBorder="1" applyAlignment="1">
      <alignment horizontal="center" vertical="center"/>
    </xf>
    <xf numFmtId="183" fontId="80" fillId="19" borderId="0" xfId="2" applyFont="1" applyFill="1" applyBorder="1" applyAlignment="1">
      <alignment horizontal="center" vertical="center"/>
    </xf>
    <xf numFmtId="183" fontId="0" fillId="3" borderId="1" xfId="0" applyFill="1" applyBorder="1" applyAlignment="1">
      <alignment horizontal="center"/>
    </xf>
    <xf numFmtId="183" fontId="0" fillId="6" borderId="1" xfId="0" applyFill="1" applyBorder="1" applyAlignment="1">
      <alignment horizontal="center"/>
    </xf>
    <xf numFmtId="183" fontId="0" fillId="0" borderId="1" xfId="0" applyFill="1" applyBorder="1" applyAlignment="1">
      <alignment horizontal="center" vertical="center"/>
    </xf>
    <xf numFmtId="183" fontId="0" fillId="0" borderId="5" xfId="0" applyFill="1" applyBorder="1" applyAlignment="1">
      <alignment horizontal="center" vertical="center"/>
    </xf>
    <xf numFmtId="183" fontId="0" fillId="0" borderId="8" xfId="0" applyFill="1" applyBorder="1" applyAlignment="1">
      <alignment horizontal="center" vertical="center"/>
    </xf>
    <xf numFmtId="183" fontId="0" fillId="0" borderId="1" xfId="0" applyFill="1" applyBorder="1" applyAlignment="1">
      <alignment horizontal="center" vertical="center" wrapText="1"/>
    </xf>
    <xf numFmtId="183" fontId="0" fillId="0" borderId="5" xfId="0" applyFill="1" applyBorder="1" applyAlignment="1">
      <alignment horizontal="center" vertical="top" wrapText="1"/>
    </xf>
    <xf numFmtId="183" fontId="0" fillId="0" borderId="8" xfId="0" applyFill="1" applyBorder="1" applyAlignment="1">
      <alignment horizontal="center" vertical="top" wrapText="1"/>
    </xf>
    <xf numFmtId="183" fontId="0" fillId="0" borderId="1" xfId="0" applyFill="1" applyBorder="1" applyAlignment="1">
      <alignment horizontal="center" vertical="top" wrapText="1"/>
    </xf>
    <xf numFmtId="183" fontId="0" fillId="24" borderId="5" xfId="0" applyFill="1" applyBorder="1" applyAlignment="1">
      <alignment horizontal="center" vertical="center"/>
    </xf>
    <xf numFmtId="183" fontId="0" fillId="24" borderId="6" xfId="0" applyFill="1" applyBorder="1" applyAlignment="1">
      <alignment horizontal="center" vertical="center"/>
    </xf>
    <xf numFmtId="183" fontId="0" fillId="24" borderId="8" xfId="0" applyFill="1" applyBorder="1" applyAlignment="1">
      <alignment horizontal="center" vertical="center"/>
    </xf>
    <xf numFmtId="183" fontId="4" fillId="24" borderId="5" xfId="0" applyFont="1" applyFill="1" applyBorder="1" applyAlignment="1">
      <alignment horizontal="center" vertical="center"/>
    </xf>
    <xf numFmtId="183" fontId="0" fillId="3" borderId="1" xfId="0" applyFill="1" applyBorder="1" applyAlignment="1">
      <alignment horizontal="center" vertical="center"/>
    </xf>
    <xf numFmtId="183" fontId="0" fillId="6" borderId="1" xfId="0" applyFill="1" applyBorder="1" applyAlignment="1">
      <alignment horizontal="center" vertical="center"/>
    </xf>
    <xf numFmtId="183" fontId="81" fillId="0" borderId="15" xfId="0" applyFont="1" applyFill="1" applyBorder="1" applyAlignment="1">
      <alignment horizontal="center" vertical="top" wrapText="1"/>
    </xf>
    <xf numFmtId="183" fontId="0" fillId="0" borderId="3" xfId="0" applyFill="1" applyBorder="1" applyAlignment="1">
      <alignment horizontal="center" vertical="top" wrapText="1"/>
    </xf>
    <xf numFmtId="183" fontId="0" fillId="0" borderId="6" xfId="0" applyFill="1" applyBorder="1" applyAlignment="1">
      <alignment horizontal="center" vertical="center"/>
    </xf>
    <xf numFmtId="183" fontId="59" fillId="0" borderId="1" xfId="0" applyFont="1" applyFill="1" applyBorder="1" applyAlignment="1">
      <alignment vertical="center" wrapText="1"/>
    </xf>
    <xf numFmtId="183" fontId="59" fillId="0" borderId="5" xfId="0" applyFont="1" applyFill="1" applyBorder="1" applyAlignment="1">
      <alignment horizontal="center" vertical="center"/>
    </xf>
    <xf numFmtId="183" fontId="59" fillId="0" borderId="6" xfId="0" applyFont="1" applyFill="1" applyBorder="1" applyAlignment="1">
      <alignment horizontal="center" vertical="center"/>
    </xf>
    <xf numFmtId="183" fontId="59" fillId="0" borderId="22" xfId="0" applyFont="1" applyFill="1" applyBorder="1" applyAlignment="1">
      <alignment horizontal="center" vertical="center"/>
    </xf>
    <xf numFmtId="190" fontId="59" fillId="3" borderId="5" xfId="0" applyNumberFormat="1" applyFont="1" applyFill="1" applyBorder="1" applyAlignment="1">
      <alignment horizontal="center" vertical="center" wrapText="1"/>
    </xf>
    <xf numFmtId="190" fontId="59" fillId="3" borderId="6" xfId="0" applyNumberFormat="1" applyFont="1" applyFill="1" applyBorder="1" applyAlignment="1">
      <alignment horizontal="center" vertical="center" wrapText="1"/>
    </xf>
    <xf numFmtId="190" fontId="59" fillId="3" borderId="8" xfId="0" applyNumberFormat="1" applyFont="1" applyFill="1" applyBorder="1" applyAlignment="1">
      <alignment horizontal="center" vertical="center" wrapText="1"/>
    </xf>
    <xf numFmtId="190" fontId="59" fillId="23" borderId="5" xfId="0" applyNumberFormat="1" applyFont="1" applyFill="1" applyBorder="1" applyAlignment="1">
      <alignment horizontal="center" vertical="center" wrapText="1"/>
    </xf>
    <xf numFmtId="190" fontId="59" fillId="23" borderId="6" xfId="0" applyNumberFormat="1" applyFont="1" applyFill="1" applyBorder="1" applyAlignment="1">
      <alignment horizontal="center" vertical="center" wrapText="1"/>
    </xf>
    <xf numFmtId="190" fontId="59" fillId="23" borderId="8" xfId="0" applyNumberFormat="1" applyFont="1" applyFill="1" applyBorder="1" applyAlignment="1">
      <alignment horizontal="center" vertical="center" wrapText="1"/>
    </xf>
    <xf numFmtId="183" fontId="59" fillId="6" borderId="1" xfId="0" applyFont="1" applyFill="1" applyBorder="1" applyAlignment="1">
      <alignment horizontal="left" vertical="center"/>
    </xf>
    <xf numFmtId="183" fontId="59" fillId="20" borderId="1" xfId="0" applyFont="1" applyFill="1" applyBorder="1" applyAlignment="1">
      <alignment horizontal="center" vertical="center"/>
    </xf>
    <xf numFmtId="190" fontId="40" fillId="0" borderId="1" xfId="0" applyNumberFormat="1" applyFont="1" applyFill="1" applyBorder="1" applyAlignment="1">
      <alignment vertical="center" wrapText="1"/>
    </xf>
    <xf numFmtId="190" fontId="59" fillId="0" borderId="1" xfId="0" applyNumberFormat="1" applyFont="1" applyFill="1" applyBorder="1" applyAlignment="1">
      <alignment vertical="center" wrapText="1"/>
    </xf>
    <xf numFmtId="183" fontId="59" fillId="3" borderId="1" xfId="0" applyFont="1" applyFill="1" applyBorder="1" applyAlignment="1">
      <alignment vertical="center" wrapText="1"/>
    </xf>
    <xf numFmtId="183" fontId="59" fillId="6" borderId="1" xfId="0" applyFont="1" applyFill="1" applyBorder="1" applyAlignment="1">
      <alignment vertical="center" wrapText="1"/>
    </xf>
    <xf numFmtId="190" fontId="59" fillId="22" borderId="1" xfId="0" applyNumberFormat="1" applyFont="1" applyFill="1" applyBorder="1" applyAlignment="1">
      <alignment vertical="center" wrapText="1"/>
    </xf>
    <xf numFmtId="190" fontId="59" fillId="22" borderId="1" xfId="0" applyNumberFormat="1" applyFont="1" applyFill="1" applyBorder="1" applyAlignment="1">
      <alignment horizontal="center" vertical="center" wrapText="1"/>
    </xf>
    <xf numFmtId="183" fontId="59" fillId="5" borderId="1" xfId="0" applyFont="1" applyFill="1" applyBorder="1" applyAlignment="1">
      <alignment vertical="center" wrapText="1"/>
    </xf>
    <xf numFmtId="183" fontId="79" fillId="19" borderId="1" xfId="2" applyFont="1" applyFill="1" applyBorder="1" applyAlignment="1">
      <alignment horizontal="left" vertical="center"/>
    </xf>
    <xf numFmtId="183" fontId="79" fillId="19" borderId="1" xfId="2" applyFont="1" applyFill="1" applyBorder="1" applyAlignment="1">
      <alignment horizontal="center" vertical="center"/>
    </xf>
    <xf numFmtId="183" fontId="79" fillId="19" borderId="1" xfId="2" applyFont="1" applyFill="1" applyBorder="1" applyAlignment="1">
      <alignment vertical="center" wrapText="1"/>
    </xf>
    <xf numFmtId="183" fontId="79" fillId="19" borderId="1" xfId="2" applyFont="1" applyFill="1" applyBorder="1" applyAlignment="1">
      <alignment vertical="center"/>
    </xf>
    <xf numFmtId="190" fontId="79" fillId="19" borderId="1" xfId="2" applyNumberFormat="1" applyFont="1" applyFill="1" applyBorder="1" applyAlignment="1">
      <alignment vertical="center"/>
    </xf>
    <xf numFmtId="190" fontId="79" fillId="19" borderId="1" xfId="2" applyNumberFormat="1" applyFont="1" applyFill="1" applyBorder="1" applyAlignment="1">
      <alignment horizontal="center" vertical="center"/>
    </xf>
    <xf numFmtId="190" fontId="59" fillId="0" borderId="5" xfId="0" applyNumberFormat="1" applyFont="1" applyFill="1" applyBorder="1" applyAlignment="1">
      <alignment horizontal="center" vertical="center" wrapText="1"/>
    </xf>
    <xf numFmtId="190" fontId="59" fillId="0" borderId="8" xfId="0" applyNumberFormat="1" applyFont="1" applyFill="1" applyBorder="1" applyAlignment="1">
      <alignment horizontal="center" vertical="center" wrapText="1"/>
    </xf>
    <xf numFmtId="190" fontId="59" fillId="0" borderId="1" xfId="0" applyNumberFormat="1" applyFont="1" applyFill="1" applyBorder="1" applyAlignment="1">
      <alignment horizontal="center" vertical="center" wrapText="1"/>
    </xf>
    <xf numFmtId="190" fontId="59" fillId="12" borderId="1" xfId="0" applyNumberFormat="1" applyFont="1" applyFill="1" applyBorder="1" applyAlignment="1">
      <alignment horizontal="center" vertical="center" wrapText="1"/>
    </xf>
    <xf numFmtId="190" fontId="59" fillId="16" borderId="1" xfId="0" applyNumberFormat="1" applyFont="1" applyFill="1" applyBorder="1" applyAlignment="1">
      <alignment horizontal="center" vertical="center" wrapText="1"/>
    </xf>
    <xf numFmtId="190" fontId="59" fillId="23" borderId="1" xfId="0" applyNumberFormat="1" applyFont="1" applyFill="1" applyBorder="1" applyAlignment="1">
      <alignment horizontal="center" vertical="center" wrapText="1"/>
    </xf>
    <xf numFmtId="183" fontId="59" fillId="17" borderId="1" xfId="0" applyFont="1" applyFill="1" applyBorder="1" applyAlignment="1">
      <alignment horizontal="center" vertical="center" wrapText="1"/>
    </xf>
    <xf numFmtId="190" fontId="59" fillId="7" borderId="1" xfId="0" applyNumberFormat="1" applyFont="1" applyFill="1" applyBorder="1" applyAlignment="1">
      <alignment horizontal="center" vertical="center" wrapText="1"/>
    </xf>
    <xf numFmtId="183" fontId="59" fillId="14" borderId="1" xfId="0" applyFont="1" applyFill="1" applyBorder="1" applyAlignment="1">
      <alignment horizontal="center" vertical="center" wrapText="1"/>
    </xf>
    <xf numFmtId="183" fontId="0" fillId="5" borderId="5" xfId="0" applyFont="1" applyFill="1" applyBorder="1" applyAlignment="1">
      <alignment horizontal="center" vertical="center"/>
    </xf>
    <xf numFmtId="183" fontId="0" fillId="5" borderId="8" xfId="0" applyFont="1" applyFill="1" applyBorder="1" applyAlignment="1">
      <alignment horizontal="center" vertical="center"/>
    </xf>
    <xf numFmtId="183" fontId="78" fillId="5" borderId="1" xfId="0" applyFont="1" applyFill="1" applyBorder="1" applyAlignment="1">
      <alignment horizontal="center" vertical="center"/>
    </xf>
    <xf numFmtId="183" fontId="0" fillId="5" borderId="1" xfId="0" applyFill="1" applyBorder="1" applyAlignment="1">
      <alignment horizontal="center" vertical="center"/>
    </xf>
    <xf numFmtId="183" fontId="0" fillId="5" borderId="23" xfId="0" applyFill="1" applyBorder="1" applyAlignment="1">
      <alignment horizontal="center" vertical="center"/>
    </xf>
    <xf numFmtId="183" fontId="0" fillId="5" borderId="5" xfId="0" applyFont="1" applyFill="1" applyBorder="1" applyAlignment="1">
      <alignment horizontal="center" vertical="center" wrapText="1"/>
    </xf>
    <xf numFmtId="183" fontId="0" fillId="5" borderId="8" xfId="0" applyFont="1" applyFill="1" applyBorder="1" applyAlignment="1">
      <alignment horizontal="center" vertical="center" wrapText="1"/>
    </xf>
    <xf numFmtId="183" fontId="4" fillId="5" borderId="5" xfId="0" applyFont="1" applyFill="1" applyBorder="1" applyAlignment="1">
      <alignment horizontal="center" vertical="center" wrapText="1"/>
    </xf>
    <xf numFmtId="183" fontId="0" fillId="5" borderId="1" xfId="0" applyFill="1" applyBorder="1" applyAlignment="1">
      <alignment horizontal="left" vertical="center"/>
    </xf>
    <xf numFmtId="183" fontId="66" fillId="0" borderId="0" xfId="0" applyFont="1" applyFill="1" applyBorder="1" applyAlignment="1">
      <alignment horizontal="left"/>
    </xf>
    <xf numFmtId="183" fontId="67" fillId="0" borderId="0" xfId="0" applyFont="1" applyFill="1" applyBorder="1" applyAlignment="1">
      <alignment horizontal="left"/>
    </xf>
    <xf numFmtId="183" fontId="0" fillId="0" borderId="21" xfId="0" applyBorder="1" applyAlignment="1">
      <alignment horizontal="center" vertical="center"/>
    </xf>
    <xf numFmtId="183" fontId="0" fillId="0" borderId="0" xfId="0" applyAlignment="1">
      <alignment horizontal="center" vertical="center"/>
    </xf>
    <xf numFmtId="183" fontId="0" fillId="0" borderId="1" xfId="0" applyBorder="1" applyAlignment="1">
      <alignment horizontal="center" vertical="center"/>
    </xf>
    <xf numFmtId="183" fontId="0" fillId="0" borderId="5" xfId="0" applyBorder="1" applyAlignment="1">
      <alignment horizontal="center" vertical="center"/>
    </xf>
    <xf numFmtId="183" fontId="0" fillId="0" borderId="6" xfId="0" applyBorder="1" applyAlignment="1">
      <alignment horizontal="center" vertical="center"/>
    </xf>
    <xf numFmtId="183" fontId="0" fillId="0" borderId="8" xfId="0" applyBorder="1" applyAlignment="1">
      <alignment horizontal="center" vertical="center"/>
    </xf>
    <xf numFmtId="183" fontId="0" fillId="0" borderId="1" xfId="0" applyBorder="1" applyAlignment="1">
      <alignment horizontal="center" vertical="center" wrapText="1"/>
    </xf>
    <xf numFmtId="183" fontId="62" fillId="0" borderId="1" xfId="0" applyFont="1" applyFill="1" applyBorder="1" applyAlignment="1">
      <alignment horizontal="center"/>
    </xf>
    <xf numFmtId="183" fontId="61" fillId="0" borderId="1" xfId="0" applyFont="1" applyFill="1" applyBorder="1" applyAlignment="1">
      <alignment horizontal="center" vertical="center" wrapText="1"/>
    </xf>
    <xf numFmtId="183" fontId="62" fillId="0" borderId="1" xfId="0" applyFont="1" applyFill="1" applyBorder="1" applyAlignment="1">
      <alignment horizontal="center" vertical="center" wrapText="1"/>
    </xf>
    <xf numFmtId="183" fontId="62" fillId="0" borderId="1" xfId="0" applyFont="1" applyFill="1" applyBorder="1" applyAlignment="1">
      <alignment horizontal="center" vertical="center"/>
    </xf>
    <xf numFmtId="183" fontId="24" fillId="0" borderId="20" xfId="0" applyFont="1" applyFill="1" applyBorder="1" applyAlignment="1">
      <alignment horizontal="center" vertical="center" wrapText="1"/>
    </xf>
    <xf numFmtId="183" fontId="24" fillId="0" borderId="19" xfId="0" applyFont="1" applyFill="1" applyBorder="1" applyAlignment="1">
      <alignment horizontal="center" vertical="center" wrapText="1"/>
    </xf>
    <xf numFmtId="183" fontId="24" fillId="0" borderId="13" xfId="0" applyFont="1" applyFill="1" applyBorder="1" applyAlignment="1">
      <alignment horizontal="center" vertical="center" wrapText="1"/>
    </xf>
    <xf numFmtId="183" fontId="59" fillId="0" borderId="1" xfId="0" applyFont="1" applyBorder="1" applyAlignment="1">
      <alignment horizontal="center" vertical="center"/>
    </xf>
    <xf numFmtId="183" fontId="24" fillId="0" borderId="1" xfId="0" applyFont="1" applyFill="1" applyBorder="1" applyAlignment="1">
      <alignment horizontal="center" vertical="center" wrapText="1"/>
    </xf>
    <xf numFmtId="183" fontId="60" fillId="0" borderId="20" xfId="0" applyFont="1" applyFill="1" applyBorder="1" applyAlignment="1">
      <alignment horizontal="center" vertical="center" wrapText="1"/>
    </xf>
    <xf numFmtId="183" fontId="60" fillId="0" borderId="19" xfId="0" applyFont="1" applyFill="1" applyBorder="1" applyAlignment="1">
      <alignment horizontal="center" vertical="center"/>
    </xf>
    <xf numFmtId="183" fontId="60" fillId="0" borderId="13" xfId="0" applyFont="1" applyFill="1" applyBorder="1" applyAlignment="1">
      <alignment horizontal="center" vertical="center"/>
    </xf>
    <xf numFmtId="183" fontId="60" fillId="0" borderId="1" xfId="0" applyFont="1" applyFill="1" applyBorder="1" applyAlignment="1">
      <alignment horizontal="center" vertical="center"/>
    </xf>
    <xf numFmtId="183" fontId="28" fillId="0" borderId="1" xfId="0" applyFont="1" applyBorder="1" applyAlignment="1">
      <alignment horizontal="center" vertical="center"/>
    </xf>
    <xf numFmtId="183" fontId="28" fillId="0" borderId="20" xfId="0" applyFont="1" applyBorder="1" applyAlignment="1">
      <alignment horizontal="center" vertical="center"/>
    </xf>
    <xf numFmtId="183" fontId="28" fillId="0" borderId="19" xfId="0" applyFont="1" applyBorder="1" applyAlignment="1">
      <alignment horizontal="center" vertical="center"/>
    </xf>
    <xf numFmtId="183" fontId="28" fillId="0" borderId="13" xfId="0" applyFont="1" applyBorder="1" applyAlignment="1">
      <alignment horizontal="center" vertical="center"/>
    </xf>
    <xf numFmtId="183" fontId="28" fillId="0" borderId="5" xfId="0" applyFont="1" applyBorder="1" applyAlignment="1">
      <alignment horizontal="center" vertical="center"/>
    </xf>
    <xf numFmtId="183" fontId="28" fillId="0" borderId="8" xfId="0" applyFont="1" applyBorder="1" applyAlignment="1">
      <alignment horizontal="center" vertical="center"/>
    </xf>
    <xf numFmtId="9" fontId="28" fillId="0" borderId="1" xfId="3" applyFont="1" applyBorder="1" applyAlignment="1">
      <alignment horizontal="center" vertical="center"/>
    </xf>
    <xf numFmtId="178" fontId="0" fillId="0" borderId="1" xfId="0" applyNumberFormat="1" applyBorder="1" applyAlignment="1">
      <alignment horizontal="center" vertical="center"/>
    </xf>
    <xf numFmtId="183" fontId="0" fillId="0" borderId="5" xfId="0" applyBorder="1" applyAlignment="1">
      <alignment horizontal="center" vertical="center" wrapText="1"/>
    </xf>
    <xf numFmtId="183" fontId="0" fillId="0" borderId="6" xfId="0" applyBorder="1" applyAlignment="1">
      <alignment horizontal="center" vertical="center" wrapText="1"/>
    </xf>
    <xf numFmtId="183" fontId="0" fillId="0" borderId="8" xfId="0" applyBorder="1" applyAlignment="1">
      <alignment horizontal="center" vertical="center" wrapText="1"/>
    </xf>
    <xf numFmtId="183" fontId="55" fillId="3" borderId="5" xfId="0" applyNumberFormat="1" applyFont="1" applyFill="1" applyBorder="1" applyAlignment="1">
      <alignment horizontal="center" vertical="center"/>
    </xf>
    <xf numFmtId="183" fontId="55" fillId="3" borderId="8" xfId="0" applyNumberFormat="1" applyFont="1" applyFill="1" applyBorder="1" applyAlignment="1">
      <alignment horizontal="center" vertical="center"/>
    </xf>
    <xf numFmtId="183" fontId="56" fillId="3" borderId="5" xfId="0" applyFont="1" applyFill="1" applyBorder="1" applyAlignment="1">
      <alignment horizontal="center" vertical="center"/>
    </xf>
    <xf numFmtId="183" fontId="56" fillId="3" borderId="8" xfId="0" applyFont="1" applyFill="1" applyBorder="1" applyAlignment="1">
      <alignment horizontal="center" vertical="center"/>
    </xf>
    <xf numFmtId="183" fontId="56" fillId="3" borderId="6" xfId="0" applyFont="1" applyFill="1" applyBorder="1" applyAlignment="1">
      <alignment horizontal="center" vertical="center"/>
    </xf>
    <xf numFmtId="183" fontId="55" fillId="3" borderId="6" xfId="0" applyNumberFormat="1" applyFont="1" applyFill="1" applyBorder="1" applyAlignment="1">
      <alignment horizontal="center" vertical="center"/>
    </xf>
    <xf numFmtId="183" fontId="54" fillId="0" borderId="1" xfId="0" applyFont="1" applyFill="1" applyBorder="1" applyAlignment="1">
      <alignment horizontal="center" vertical="center" wrapText="1"/>
    </xf>
    <xf numFmtId="183" fontId="54" fillId="0" borderId="1" xfId="0" applyFont="1" applyFill="1" applyBorder="1" applyAlignment="1">
      <alignment horizontal="center" vertical="center"/>
    </xf>
    <xf numFmtId="178" fontId="54" fillId="0" borderId="1" xfId="0" applyNumberFormat="1" applyFont="1" applyFill="1" applyBorder="1" applyAlignment="1">
      <alignment horizontal="center" vertical="center"/>
    </xf>
    <xf numFmtId="178" fontId="0" fillId="3" borderId="1" xfId="0" applyNumberFormat="1" applyFill="1" applyBorder="1" applyAlignment="1">
      <alignment horizontal="center" vertical="center"/>
    </xf>
    <xf numFmtId="183" fontId="52" fillId="3" borderId="1" xfId="0" applyFont="1" applyFill="1" applyBorder="1" applyAlignment="1">
      <alignment horizontal="center"/>
    </xf>
    <xf numFmtId="183" fontId="51" fillId="3" borderId="20" xfId="0" applyFont="1" applyFill="1" applyBorder="1" applyAlignment="1">
      <alignment horizontal="center" vertical="center"/>
    </xf>
    <xf numFmtId="183" fontId="51" fillId="3" borderId="19" xfId="0" applyFont="1" applyFill="1" applyBorder="1" applyAlignment="1">
      <alignment horizontal="center" vertical="center"/>
    </xf>
    <xf numFmtId="183" fontId="51" fillId="3" borderId="13" xfId="0" applyFont="1" applyFill="1" applyBorder="1" applyAlignment="1">
      <alignment horizontal="center" vertical="center"/>
    </xf>
    <xf numFmtId="183" fontId="52" fillId="3" borderId="1" xfId="0" applyFont="1" applyFill="1" applyBorder="1" applyAlignment="1">
      <alignment horizontal="center" vertical="center"/>
    </xf>
    <xf numFmtId="183" fontId="48" fillId="0" borderId="1" xfId="0" applyFont="1" applyBorder="1" applyAlignment="1">
      <alignment horizontal="center" vertical="center"/>
    </xf>
    <xf numFmtId="183" fontId="48" fillId="0" borderId="1" xfId="0" applyFont="1" applyBorder="1" applyAlignment="1">
      <alignment horizontal="center" vertical="center" wrapText="1"/>
    </xf>
    <xf numFmtId="183" fontId="49" fillId="0" borderId="1" xfId="0" applyFont="1" applyBorder="1" applyAlignment="1">
      <alignment horizontal="center" vertical="center"/>
    </xf>
    <xf numFmtId="183" fontId="49" fillId="0" borderId="1" xfId="0" applyFont="1" applyBorder="1" applyAlignment="1">
      <alignment horizontal="center" vertical="center" wrapText="1"/>
    </xf>
    <xf numFmtId="49" fontId="47" fillId="0" borderId="20" xfId="0" applyNumberFormat="1" applyFont="1" applyBorder="1" applyAlignment="1">
      <alignment horizontal="center" vertical="center"/>
    </xf>
    <xf numFmtId="49" fontId="47" fillId="0" borderId="19" xfId="0" applyNumberFormat="1" applyFont="1" applyBorder="1" applyAlignment="1">
      <alignment horizontal="center" vertical="center" wrapText="1"/>
    </xf>
    <xf numFmtId="49" fontId="47" fillId="0" borderId="13" xfId="0" applyNumberFormat="1" applyFont="1" applyBorder="1" applyAlignment="1">
      <alignment horizontal="center" vertical="center"/>
    </xf>
    <xf numFmtId="183" fontId="47" fillId="0" borderId="5" xfId="0" applyFont="1" applyBorder="1" applyAlignment="1">
      <alignment horizontal="center" vertical="center"/>
    </xf>
    <xf numFmtId="183" fontId="47" fillId="0" borderId="8" xfId="0" applyFont="1" applyBorder="1" applyAlignment="1">
      <alignment horizontal="center" vertical="center"/>
    </xf>
    <xf numFmtId="183" fontId="43" fillId="0" borderId="1" xfId="0" applyFont="1" applyFill="1" applyBorder="1" applyAlignment="1">
      <alignment horizontal="center" vertical="center" wrapText="1"/>
    </xf>
    <xf numFmtId="178" fontId="43" fillId="0" borderId="1" xfId="0" applyNumberFormat="1" applyFont="1" applyFill="1" applyBorder="1" applyAlignment="1">
      <alignment horizontal="center" vertical="center" wrapText="1"/>
    </xf>
    <xf numFmtId="183" fontId="44" fillId="0" borderId="1" xfId="0" applyFont="1" applyFill="1" applyBorder="1" applyAlignment="1">
      <alignment horizontal="center" vertical="center" wrapText="1"/>
    </xf>
    <xf numFmtId="178" fontId="44" fillId="0" borderId="1" xfId="0" applyNumberFormat="1" applyFont="1" applyFill="1" applyBorder="1" applyAlignment="1">
      <alignment horizontal="center" vertical="center" wrapText="1"/>
    </xf>
    <xf numFmtId="183" fontId="40" fillId="0" borderId="20" xfId="0" applyFont="1" applyFill="1" applyBorder="1" applyAlignment="1">
      <alignment horizontal="center" vertical="center" wrapText="1"/>
    </xf>
    <xf numFmtId="183" fontId="40" fillId="0" borderId="19" xfId="0" applyFont="1" applyFill="1" applyBorder="1" applyAlignment="1">
      <alignment horizontal="center" vertical="center" wrapText="1"/>
    </xf>
    <xf numFmtId="183" fontId="40" fillId="0" borderId="13" xfId="0" applyFont="1" applyFill="1" applyBorder="1" applyAlignment="1">
      <alignment horizontal="center" vertical="center" wrapText="1"/>
    </xf>
    <xf numFmtId="183" fontId="40" fillId="0" borderId="1" xfId="0" applyFont="1" applyFill="1" applyBorder="1" applyAlignment="1">
      <alignment horizontal="center" vertical="center" wrapText="1"/>
    </xf>
    <xf numFmtId="183" fontId="40" fillId="0" borderId="5" xfId="0" applyFont="1" applyFill="1" applyBorder="1" applyAlignment="1">
      <alignment horizontal="center" vertical="center" wrapText="1"/>
    </xf>
    <xf numFmtId="183" fontId="40" fillId="0" borderId="8" xfId="0" applyFont="1" applyFill="1" applyBorder="1" applyAlignment="1">
      <alignment horizontal="center" vertical="center" wrapText="1"/>
    </xf>
    <xf numFmtId="183" fontId="40" fillId="0" borderId="1" xfId="0" applyFont="1" applyFill="1" applyBorder="1" applyAlignment="1">
      <alignment horizontal="center" vertical="center"/>
    </xf>
    <xf numFmtId="183" fontId="40" fillId="0" borderId="5" xfId="0" applyFont="1" applyFill="1" applyBorder="1" applyAlignment="1">
      <alignment horizontal="center" vertical="center"/>
    </xf>
    <xf numFmtId="183" fontId="40" fillId="0" borderId="8" xfId="0" applyFont="1" applyFill="1" applyBorder="1" applyAlignment="1">
      <alignment horizontal="center" vertical="center"/>
    </xf>
    <xf numFmtId="178" fontId="40" fillId="0" borderId="5" xfId="0" applyNumberFormat="1" applyFont="1" applyFill="1" applyBorder="1" applyAlignment="1">
      <alignment horizontal="center" vertical="center"/>
    </xf>
    <xf numFmtId="178" fontId="40" fillId="0" borderId="6" xfId="0" applyNumberFormat="1" applyFont="1" applyFill="1" applyBorder="1" applyAlignment="1">
      <alignment horizontal="center" vertical="center"/>
    </xf>
    <xf numFmtId="178" fontId="40" fillId="0" borderId="8" xfId="0" applyNumberFormat="1" applyFont="1" applyFill="1" applyBorder="1" applyAlignment="1">
      <alignment horizontal="center" vertical="center"/>
    </xf>
    <xf numFmtId="43" fontId="40" fillId="0" borderId="5" xfId="6" applyFont="1" applyFill="1" applyBorder="1" applyAlignment="1">
      <alignment horizontal="center" vertical="center"/>
    </xf>
    <xf numFmtId="43" fontId="40" fillId="0" borderId="8" xfId="6" applyFont="1" applyFill="1" applyBorder="1" applyAlignment="1">
      <alignment horizontal="center" vertical="center"/>
    </xf>
    <xf numFmtId="43" fontId="40" fillId="0" borderId="6" xfId="6" applyFont="1" applyFill="1" applyBorder="1" applyAlignment="1">
      <alignment horizontal="center" vertical="center"/>
    </xf>
    <xf numFmtId="178" fontId="42" fillId="5" borderId="5" xfId="0" applyNumberFormat="1" applyFont="1" applyFill="1" applyBorder="1" applyAlignment="1">
      <alignment horizontal="center" vertical="center"/>
    </xf>
    <xf numFmtId="178" fontId="42" fillId="5" borderId="6" xfId="0" applyNumberFormat="1" applyFont="1" applyFill="1" applyBorder="1" applyAlignment="1">
      <alignment horizontal="center" vertical="center"/>
    </xf>
    <xf numFmtId="178" fontId="42" fillId="5" borderId="8" xfId="0" applyNumberFormat="1" applyFont="1" applyFill="1" applyBorder="1" applyAlignment="1">
      <alignment horizontal="center" vertical="center"/>
    </xf>
    <xf numFmtId="178" fontId="42" fillId="0" borderId="5" xfId="0" applyNumberFormat="1" applyFont="1" applyFill="1" applyBorder="1" applyAlignment="1">
      <alignment horizontal="center" vertical="center"/>
    </xf>
    <xf numFmtId="178" fontId="42" fillId="0" borderId="6" xfId="0" applyNumberFormat="1" applyFont="1" applyFill="1" applyBorder="1" applyAlignment="1">
      <alignment horizontal="center" vertical="center"/>
    </xf>
    <xf numFmtId="178" fontId="42" fillId="0" borderId="8" xfId="0" applyNumberFormat="1" applyFont="1" applyFill="1" applyBorder="1" applyAlignment="1">
      <alignment horizontal="center" vertical="center"/>
    </xf>
    <xf numFmtId="178" fontId="42" fillId="3" borderId="5" xfId="0" applyNumberFormat="1" applyFont="1" applyFill="1" applyBorder="1" applyAlignment="1">
      <alignment horizontal="center" vertical="center"/>
    </xf>
    <xf numFmtId="178" fontId="42" fillId="3" borderId="6" xfId="0" applyNumberFormat="1" applyFont="1" applyFill="1" applyBorder="1" applyAlignment="1">
      <alignment horizontal="center" vertical="center"/>
    </xf>
    <xf numFmtId="178" fontId="42" fillId="3" borderId="8" xfId="0" applyNumberFormat="1" applyFont="1" applyFill="1" applyBorder="1" applyAlignment="1">
      <alignment horizontal="center" vertical="center"/>
    </xf>
    <xf numFmtId="178" fontId="42" fillId="6" borderId="5" xfId="0" applyNumberFormat="1" applyFont="1" applyFill="1" applyBorder="1" applyAlignment="1">
      <alignment horizontal="center" vertical="center"/>
    </xf>
    <xf numFmtId="178" fontId="42" fillId="6" borderId="6" xfId="0" applyNumberFormat="1" applyFont="1" applyFill="1" applyBorder="1" applyAlignment="1">
      <alignment horizontal="center" vertical="center"/>
    </xf>
    <xf numFmtId="178" fontId="42" fillId="6" borderId="8" xfId="0" applyNumberFormat="1" applyFont="1" applyFill="1" applyBorder="1" applyAlignment="1">
      <alignment horizontal="center" vertical="center"/>
    </xf>
    <xf numFmtId="178" fontId="42" fillId="0" borderId="5" xfId="0" applyNumberFormat="1" applyFont="1" applyFill="1" applyBorder="1" applyAlignment="1">
      <alignment horizontal="center" vertical="center" wrapText="1"/>
    </xf>
    <xf numFmtId="178" fontId="42" fillId="0" borderId="8" xfId="0" applyNumberFormat="1" applyFont="1" applyFill="1" applyBorder="1" applyAlignment="1">
      <alignment horizontal="center" vertical="center" wrapText="1"/>
    </xf>
    <xf numFmtId="183" fontId="0" fillId="0" borderId="19" xfId="0" applyBorder="1" applyAlignment="1">
      <alignment horizontal="center" vertical="center"/>
    </xf>
    <xf numFmtId="183" fontId="0" fillId="0" borderId="13" xfId="0" applyBorder="1" applyAlignment="1">
      <alignment horizontal="center" vertical="center"/>
    </xf>
    <xf numFmtId="183" fontId="42" fillId="0" borderId="1" xfId="0" applyFont="1" applyFill="1" applyBorder="1" applyAlignment="1">
      <alignment horizontal="center" vertical="center" wrapText="1"/>
    </xf>
    <xf numFmtId="183" fontId="42" fillId="0" borderId="3" xfId="0" applyFont="1" applyFill="1" applyBorder="1" applyAlignment="1">
      <alignment horizontal="center" vertical="center"/>
    </xf>
    <xf numFmtId="183" fontId="42" fillId="0" borderId="18" xfId="0" applyFont="1" applyFill="1" applyBorder="1" applyAlignment="1">
      <alignment horizontal="center" vertical="center"/>
    </xf>
    <xf numFmtId="183" fontId="42" fillId="0" borderId="17" xfId="0" applyFont="1" applyFill="1" applyBorder="1" applyAlignment="1">
      <alignment horizontal="center" vertical="center"/>
    </xf>
    <xf numFmtId="183" fontId="42" fillId="6" borderId="3" xfId="0" applyFont="1" applyFill="1" applyBorder="1" applyAlignment="1">
      <alignment horizontal="center" vertical="center"/>
    </xf>
    <xf numFmtId="183" fontId="42" fillId="6" borderId="18" xfId="0" applyFont="1" applyFill="1" applyBorder="1" applyAlignment="1">
      <alignment horizontal="center" vertical="center"/>
    </xf>
    <xf numFmtId="183" fontId="42" fillId="6" borderId="17" xfId="0" applyFont="1" applyFill="1" applyBorder="1" applyAlignment="1">
      <alignment horizontal="center" vertical="center"/>
    </xf>
    <xf numFmtId="183" fontId="42" fillId="3" borderId="3" xfId="0" applyFont="1" applyFill="1" applyBorder="1" applyAlignment="1">
      <alignment horizontal="center" vertical="center"/>
    </xf>
    <xf numFmtId="183" fontId="42" fillId="3" borderId="18" xfId="0" applyFont="1" applyFill="1" applyBorder="1" applyAlignment="1">
      <alignment horizontal="center" vertical="center"/>
    </xf>
    <xf numFmtId="183" fontId="42" fillId="3" borderId="17" xfId="0" applyFont="1" applyFill="1" applyBorder="1" applyAlignment="1">
      <alignment horizontal="center" vertical="center"/>
    </xf>
    <xf numFmtId="183" fontId="42" fillId="5" borderId="3" xfId="0" applyFont="1" applyFill="1" applyBorder="1" applyAlignment="1">
      <alignment horizontal="center" vertical="center"/>
    </xf>
    <xf numFmtId="183" fontId="42" fillId="5" borderId="17" xfId="0" applyFont="1" applyFill="1" applyBorder="1" applyAlignment="1">
      <alignment horizontal="center" vertical="center"/>
    </xf>
    <xf numFmtId="183" fontId="42" fillId="5" borderId="18" xfId="0" applyFont="1" applyFill="1" applyBorder="1" applyAlignment="1">
      <alignment horizontal="center" vertical="center"/>
    </xf>
    <xf numFmtId="183" fontId="42" fillId="0" borderId="5" xfId="0" applyFont="1" applyFill="1" applyBorder="1" applyAlignment="1">
      <alignment horizontal="center" vertical="center" wrapText="1"/>
    </xf>
    <xf numFmtId="183" fontId="42" fillId="0" borderId="6" xfId="0" applyFont="1" applyFill="1" applyBorder="1" applyAlignment="1">
      <alignment horizontal="center" vertical="center" wrapText="1"/>
    </xf>
    <xf numFmtId="183" fontId="42" fillId="0" borderId="8" xfId="0" applyFont="1" applyFill="1" applyBorder="1" applyAlignment="1">
      <alignment horizontal="center" vertical="center" wrapText="1"/>
    </xf>
    <xf numFmtId="183" fontId="42" fillId="6" borderId="5" xfId="0" applyFont="1" applyFill="1" applyBorder="1" applyAlignment="1">
      <alignment horizontal="center" vertical="center" wrapText="1"/>
    </xf>
    <xf numFmtId="183" fontId="42" fillId="6" borderId="6" xfId="0" applyFont="1" applyFill="1" applyBorder="1" applyAlignment="1">
      <alignment horizontal="center" vertical="center" wrapText="1"/>
    </xf>
    <xf numFmtId="183" fontId="42" fillId="6" borderId="8" xfId="0" applyFont="1" applyFill="1" applyBorder="1" applyAlignment="1">
      <alignment horizontal="center" vertical="center" wrapText="1"/>
    </xf>
    <xf numFmtId="183" fontId="42" fillId="3" borderId="5" xfId="0" applyFont="1" applyFill="1" applyBorder="1" applyAlignment="1">
      <alignment horizontal="center" vertical="center" wrapText="1"/>
    </xf>
    <xf numFmtId="183" fontId="42" fillId="3" borderId="6" xfId="0" applyFont="1" applyFill="1" applyBorder="1" applyAlignment="1">
      <alignment horizontal="center" vertical="center" wrapText="1"/>
    </xf>
    <xf numFmtId="183" fontId="42" fillId="3" borderId="8" xfId="0" applyFont="1" applyFill="1" applyBorder="1" applyAlignment="1">
      <alignment horizontal="center" vertical="center" wrapText="1"/>
    </xf>
    <xf numFmtId="183" fontId="42" fillId="5" borderId="5" xfId="0" applyFont="1" applyFill="1" applyBorder="1" applyAlignment="1">
      <alignment horizontal="center" vertical="center" wrapText="1"/>
    </xf>
    <xf numFmtId="183" fontId="42" fillId="5" borderId="8" xfId="0" applyFont="1" applyFill="1" applyBorder="1" applyAlignment="1">
      <alignment horizontal="center" vertical="center" wrapText="1"/>
    </xf>
    <xf numFmtId="183" fontId="42" fillId="5" borderId="6" xfId="0" applyFont="1" applyFill="1" applyBorder="1" applyAlignment="1">
      <alignment horizontal="center" vertical="center" wrapText="1"/>
    </xf>
    <xf numFmtId="183" fontId="42" fillId="0" borderId="5" xfId="0" applyFont="1" applyFill="1" applyBorder="1" applyAlignment="1">
      <alignment horizontal="center" vertical="center"/>
    </xf>
    <xf numFmtId="183" fontId="42" fillId="0" borderId="6" xfId="0" applyFont="1" applyFill="1" applyBorder="1" applyAlignment="1">
      <alignment horizontal="center" vertical="center"/>
    </xf>
    <xf numFmtId="183" fontId="42" fillId="0" borderId="8" xfId="0" applyFont="1" applyFill="1" applyBorder="1" applyAlignment="1">
      <alignment horizontal="center" vertical="center"/>
    </xf>
    <xf numFmtId="183" fontId="41" fillId="0" borderId="0" xfId="0" applyFont="1" applyFill="1" applyBorder="1" applyAlignment="1">
      <alignment horizontal="center" vertical="center"/>
    </xf>
    <xf numFmtId="183" fontId="24" fillId="0" borderId="0" xfId="0" applyFont="1" applyFill="1" applyBorder="1" applyAlignment="1">
      <alignment horizontal="center" vertical="center" wrapText="1"/>
    </xf>
    <xf numFmtId="183" fontId="41" fillId="0" borderId="1" xfId="0" applyFont="1" applyFill="1" applyBorder="1" applyAlignment="1">
      <alignment horizontal="center" vertical="center" wrapText="1"/>
    </xf>
    <xf numFmtId="183" fontId="41" fillId="0" borderId="5" xfId="0" applyFont="1" applyFill="1" applyBorder="1" applyAlignment="1">
      <alignment horizontal="center" vertical="center" wrapText="1"/>
    </xf>
    <xf numFmtId="183" fontId="41" fillId="0" borderId="6" xfId="0" applyFont="1" applyFill="1" applyBorder="1" applyAlignment="1">
      <alignment horizontal="center" vertical="center" wrapText="1"/>
    </xf>
    <xf numFmtId="183" fontId="41" fillId="0" borderId="8" xfId="0" applyFont="1" applyFill="1" applyBorder="1" applyAlignment="1">
      <alignment horizontal="center" vertical="center" wrapText="1"/>
    </xf>
    <xf numFmtId="183" fontId="39" fillId="0" borderId="1" xfId="0" applyFont="1" applyFill="1" applyBorder="1" applyAlignment="1">
      <alignment horizontal="center" vertical="center" wrapText="1"/>
    </xf>
    <xf numFmtId="183" fontId="39" fillId="0" borderId="5" xfId="0" applyFont="1" applyFill="1" applyBorder="1" applyAlignment="1">
      <alignment horizontal="center" vertical="center" wrapText="1"/>
    </xf>
    <xf numFmtId="183" fontId="39" fillId="0" borderId="6" xfId="0" applyFont="1" applyFill="1" applyBorder="1" applyAlignment="1">
      <alignment horizontal="center" vertical="center" wrapText="1"/>
    </xf>
    <xf numFmtId="183" fontId="39" fillId="0" borderId="8" xfId="0" applyFont="1" applyFill="1" applyBorder="1" applyAlignment="1">
      <alignment horizontal="center" vertical="center" wrapText="1"/>
    </xf>
    <xf numFmtId="183" fontId="40" fillId="0" borderId="6" xfId="0" applyFont="1" applyFill="1" applyBorder="1" applyAlignment="1">
      <alignment horizontal="center" vertical="center" wrapText="1"/>
    </xf>
    <xf numFmtId="183" fontId="40" fillId="0" borderId="1" xfId="0" applyFont="1" applyFill="1" applyBorder="1" applyAlignment="1">
      <alignment horizontal="left" vertical="center" wrapText="1"/>
    </xf>
    <xf numFmtId="183" fontId="39" fillId="3" borderId="1" xfId="0" applyFont="1" applyFill="1" applyBorder="1" applyAlignment="1">
      <alignment horizontal="center" vertical="center" wrapText="1"/>
    </xf>
    <xf numFmtId="183" fontId="24" fillId="0" borderId="5" xfId="0" applyFont="1" applyFill="1" applyBorder="1" applyAlignment="1">
      <alignment horizontal="center" vertical="center"/>
    </xf>
    <xf numFmtId="183" fontId="24" fillId="0" borderId="6" xfId="0" applyFont="1" applyFill="1" applyBorder="1" applyAlignment="1">
      <alignment horizontal="center" vertical="center"/>
    </xf>
    <xf numFmtId="183" fontId="24" fillId="0" borderId="8" xfId="0" applyFont="1" applyFill="1" applyBorder="1" applyAlignment="1">
      <alignment horizontal="center" vertical="center"/>
    </xf>
    <xf numFmtId="183" fontId="24" fillId="0" borderId="1" xfId="0" applyFont="1" applyFill="1" applyBorder="1" applyAlignment="1">
      <alignment horizontal="center" vertical="center"/>
    </xf>
    <xf numFmtId="183" fontId="24" fillId="5" borderId="5" xfId="0" applyFont="1" applyFill="1" applyBorder="1" applyAlignment="1">
      <alignment horizontal="center" vertical="center"/>
    </xf>
    <xf numFmtId="183" fontId="24" fillId="5" borderId="6" xfId="0" applyFont="1" applyFill="1" applyBorder="1" applyAlignment="1">
      <alignment horizontal="center" vertical="center"/>
    </xf>
    <xf numFmtId="183" fontId="24" fillId="5" borderId="8" xfId="0" applyFont="1" applyFill="1" applyBorder="1" applyAlignment="1">
      <alignment horizontal="center" vertical="center"/>
    </xf>
    <xf numFmtId="186" fontId="37" fillId="0" borderId="1" xfId="0" applyNumberFormat="1" applyFont="1" applyBorder="1" applyAlignment="1">
      <alignment horizontal="center" vertical="center" wrapText="1"/>
    </xf>
    <xf numFmtId="183" fontId="37" fillId="0" borderId="1" xfId="0" applyFont="1" applyBorder="1" applyAlignment="1">
      <alignment horizontal="center" vertical="center" wrapText="1"/>
    </xf>
    <xf numFmtId="183" fontId="31" fillId="0" borderId="1" xfId="0" applyFont="1" applyFill="1" applyBorder="1" applyAlignment="1">
      <alignment horizontal="center" vertical="center"/>
    </xf>
    <xf numFmtId="183" fontId="32" fillId="0" borderId="1" xfId="0" applyFont="1" applyFill="1" applyBorder="1" applyAlignment="1">
      <alignment horizontal="center" vertical="center"/>
    </xf>
    <xf numFmtId="183" fontId="36" fillId="0" borderId="1" xfId="0" applyFont="1" applyFill="1" applyBorder="1" applyAlignment="1">
      <alignment horizontal="center" vertical="center"/>
    </xf>
    <xf numFmtId="183" fontId="33" fillId="0" borderId="15" xfId="0" applyFont="1" applyFill="1" applyBorder="1" applyAlignment="1">
      <alignment horizontal="center" vertical="center"/>
    </xf>
    <xf numFmtId="183" fontId="33" fillId="0" borderId="2" xfId="0" applyFont="1" applyFill="1" applyBorder="1" applyAlignment="1">
      <alignment horizontal="center" vertical="center"/>
    </xf>
    <xf numFmtId="183" fontId="33" fillId="0" borderId="3" xfId="0" applyFont="1" applyFill="1" applyBorder="1" applyAlignment="1">
      <alignment horizontal="center" vertical="center"/>
    </xf>
    <xf numFmtId="183" fontId="33" fillId="0" borderId="16" xfId="0" applyFont="1" applyFill="1" applyBorder="1" applyAlignment="1">
      <alignment horizontal="center" vertical="center"/>
    </xf>
    <xf numFmtId="183" fontId="33" fillId="0" borderId="4" xfId="0" applyFont="1" applyFill="1" applyBorder="1" applyAlignment="1">
      <alignment horizontal="center" vertical="center"/>
    </xf>
    <xf numFmtId="183" fontId="33" fillId="0" borderId="17" xfId="0" applyFont="1" applyFill="1" applyBorder="1" applyAlignment="1">
      <alignment horizontal="center" vertical="center"/>
    </xf>
    <xf numFmtId="183" fontId="20" fillId="0" borderId="0" xfId="4" applyFont="1" applyFill="1" applyAlignment="1">
      <alignment horizontal="center" vertical="center" wrapText="1"/>
    </xf>
    <xf numFmtId="183" fontId="21" fillId="0" borderId="1" xfId="4" applyNumberFormat="1" applyFont="1" applyFill="1" applyBorder="1" applyAlignment="1">
      <alignment horizontal="center" vertical="center" wrapText="1"/>
    </xf>
    <xf numFmtId="183" fontId="21" fillId="0" borderId="5" xfId="4" applyNumberFormat="1" applyFont="1" applyFill="1" applyBorder="1" applyAlignment="1">
      <alignment horizontal="center" vertical="center" wrapText="1"/>
    </xf>
    <xf numFmtId="183" fontId="21" fillId="0" borderId="6" xfId="4" applyNumberFormat="1" applyFont="1" applyFill="1" applyBorder="1" applyAlignment="1">
      <alignment horizontal="center" vertical="center" wrapText="1"/>
    </xf>
    <xf numFmtId="183" fontId="21" fillId="0" borderId="8" xfId="4" applyNumberFormat="1" applyFont="1" applyFill="1" applyBorder="1" applyAlignment="1">
      <alignment horizontal="center" vertical="center" wrapText="1"/>
    </xf>
    <xf numFmtId="183" fontId="21" fillId="0" borderId="5" xfId="4" applyFont="1" applyFill="1" applyBorder="1" applyAlignment="1">
      <alignment horizontal="center" vertical="center" wrapText="1"/>
    </xf>
    <xf numFmtId="183" fontId="21" fillId="0" borderId="6" xfId="4" applyFont="1" applyFill="1" applyBorder="1" applyAlignment="1">
      <alignment horizontal="center" vertical="center" wrapText="1"/>
    </xf>
    <xf numFmtId="183" fontId="21" fillId="0" borderId="8" xfId="4" applyFont="1" applyFill="1" applyBorder="1" applyAlignment="1">
      <alignment horizontal="center" vertical="center" wrapText="1"/>
    </xf>
    <xf numFmtId="183" fontId="21" fillId="0" borderId="8" xfId="4" applyFont="1" applyFill="1" applyBorder="1" applyAlignment="1">
      <alignment vertical="center" wrapText="1"/>
    </xf>
    <xf numFmtId="183" fontId="21" fillId="0" borderId="1" xfId="4" applyFont="1" applyFill="1" applyBorder="1" applyAlignment="1">
      <alignment horizontal="center" vertical="center" wrapText="1"/>
    </xf>
    <xf numFmtId="183" fontId="21" fillId="5" borderId="5" xfId="4" applyFont="1" applyFill="1" applyBorder="1" applyAlignment="1">
      <alignment horizontal="center" vertical="center" wrapText="1"/>
    </xf>
    <xf numFmtId="183" fontId="21" fillId="5" borderId="6" xfId="4" applyFont="1" applyFill="1" applyBorder="1" applyAlignment="1">
      <alignment horizontal="center" vertical="center" wrapText="1"/>
    </xf>
    <xf numFmtId="183" fontId="21" fillId="5" borderId="8" xfId="4" applyFont="1" applyFill="1" applyBorder="1" applyAlignment="1">
      <alignment horizontal="center" vertical="center" wrapText="1"/>
    </xf>
    <xf numFmtId="183" fontId="18" fillId="0" borderId="1" xfId="0" applyFont="1" applyFill="1" applyBorder="1" applyAlignment="1">
      <alignment horizontal="center" vertical="center"/>
    </xf>
    <xf numFmtId="43" fontId="18" fillId="0" borderId="1" xfId="0" applyNumberFormat="1" applyFont="1" applyFill="1" applyBorder="1" applyAlignment="1">
      <alignment horizontal="center" vertical="center"/>
    </xf>
    <xf numFmtId="183" fontId="18" fillId="0" borderId="1" xfId="0" applyFont="1" applyFill="1" applyBorder="1" applyAlignment="1">
      <alignment horizontal="center" vertical="center" wrapText="1"/>
    </xf>
    <xf numFmtId="183" fontId="17" fillId="0" borderId="1" xfId="0" applyFont="1" applyFill="1" applyBorder="1" applyAlignment="1">
      <alignment horizontal="center" vertical="center"/>
    </xf>
    <xf numFmtId="183" fontId="4" fillId="0" borderId="1" xfId="0" applyFont="1" applyFill="1" applyBorder="1" applyAlignment="1">
      <alignment horizontal="left" vertical="center"/>
    </xf>
    <xf numFmtId="183" fontId="4" fillId="0" borderId="1" xfId="0" applyFont="1" applyFill="1" applyBorder="1" applyAlignment="1">
      <alignment horizontal="center" vertical="center"/>
    </xf>
    <xf numFmtId="183" fontId="15" fillId="0" borderId="1" xfId="0" applyFont="1" applyFill="1" applyBorder="1" applyAlignment="1">
      <alignment horizontal="center" vertical="center" wrapText="1"/>
    </xf>
    <xf numFmtId="183" fontId="16" fillId="0" borderId="1" xfId="0" applyFont="1" applyFill="1" applyBorder="1" applyAlignment="1">
      <alignment horizontal="center" vertical="center" wrapText="1"/>
    </xf>
    <xf numFmtId="183" fontId="16" fillId="0" borderId="0" xfId="0" applyFont="1" applyFill="1" applyBorder="1" applyAlignment="1">
      <alignment horizontal="center" vertical="center" wrapText="1"/>
    </xf>
    <xf numFmtId="183" fontId="16" fillId="0" borderId="4" xfId="0" applyFont="1" applyFill="1" applyBorder="1" applyAlignment="1">
      <alignment horizontal="center" vertical="center" wrapText="1"/>
    </xf>
    <xf numFmtId="183" fontId="3" fillId="0" borderId="0" xfId="0" applyFont="1" applyFill="1" applyAlignment="1">
      <alignment horizontal="center" vertical="center" wrapText="1"/>
    </xf>
    <xf numFmtId="183" fontId="7" fillId="0" borderId="2" xfId="0" applyFont="1" applyFill="1" applyBorder="1" applyAlignment="1">
      <alignment horizontal="left" vertical="center"/>
    </xf>
    <xf numFmtId="183" fontId="7" fillId="0" borderId="2" xfId="0" applyFont="1" applyFill="1" applyBorder="1" applyAlignment="1">
      <alignment horizontal="left" vertical="center" wrapText="1"/>
    </xf>
    <xf numFmtId="183" fontId="7" fillId="0" borderId="3" xfId="0" applyFont="1" applyFill="1" applyBorder="1" applyAlignment="1">
      <alignment horizontal="left" vertical="center" wrapText="1"/>
    </xf>
    <xf numFmtId="43" fontId="103" fillId="0" borderId="26" xfId="7" applyNumberFormat="1" applyFont="1" applyFill="1" applyBorder="1" applyAlignment="1">
      <alignment horizontal="center" vertical="center"/>
    </xf>
    <xf numFmtId="183" fontId="103" fillId="0" borderId="26" xfId="7" applyFont="1" applyFill="1" applyBorder="1" applyAlignment="1">
      <alignment horizontal="center" vertical="center"/>
    </xf>
    <xf numFmtId="183" fontId="105" fillId="0" borderId="4" xfId="7" applyFont="1" applyFill="1" applyBorder="1" applyAlignment="1">
      <alignment horizontal="center" vertical="center"/>
    </xf>
    <xf numFmtId="183" fontId="103" fillId="0" borderId="20" xfId="7" applyFont="1" applyFill="1" applyBorder="1" applyAlignment="1">
      <alignment horizontal="center" vertical="center"/>
    </xf>
    <xf numFmtId="183" fontId="103" fillId="0" borderId="13" xfId="7" applyFont="1" applyFill="1" applyBorder="1" applyAlignment="1">
      <alignment horizontal="center" vertical="center"/>
    </xf>
    <xf numFmtId="183" fontId="104" fillId="0" borderId="5" xfId="7" applyFont="1" applyFill="1" applyBorder="1" applyAlignment="1">
      <alignment horizontal="center" vertical="center"/>
    </xf>
    <xf numFmtId="183" fontId="104" fillId="0" borderId="6" xfId="7" applyFont="1" applyFill="1" applyBorder="1" applyAlignment="1">
      <alignment horizontal="center" vertical="center"/>
    </xf>
    <xf numFmtId="183" fontId="104" fillId="0" borderId="22" xfId="7" applyFont="1" applyFill="1" applyBorder="1" applyAlignment="1">
      <alignment horizontal="center" vertical="center"/>
    </xf>
    <xf numFmtId="43" fontId="104" fillId="0" borderId="5" xfId="8" applyFont="1" applyFill="1" applyBorder="1" applyAlignment="1">
      <alignment horizontal="center" vertical="center"/>
    </xf>
    <xf numFmtId="43" fontId="104" fillId="0" borderId="6" xfId="8" applyFont="1" applyFill="1" applyBorder="1" applyAlignment="1">
      <alignment horizontal="center" vertical="center"/>
    </xf>
    <xf numFmtId="43" fontId="104" fillId="0" borderId="22" xfId="8" applyFont="1" applyFill="1" applyBorder="1" applyAlignment="1">
      <alignment horizontal="center" vertical="center"/>
    </xf>
    <xf numFmtId="183" fontId="18" fillId="0" borderId="31" xfId="0" applyFont="1" applyBorder="1" applyAlignment="1">
      <alignment horizontal="center" vertical="center"/>
    </xf>
    <xf numFmtId="183" fontId="18" fillId="0" borderId="32" xfId="0" applyFont="1" applyBorder="1" applyAlignment="1">
      <alignment horizontal="center" vertical="center"/>
    </xf>
    <xf numFmtId="183" fontId="18" fillId="0" borderId="33" xfId="0" applyFont="1" applyBorder="1" applyAlignment="1">
      <alignment horizontal="center" vertical="center"/>
    </xf>
    <xf numFmtId="43" fontId="18" fillId="0" borderId="30" xfId="6" applyFont="1" applyBorder="1" applyAlignment="1">
      <alignment horizontal="center" vertical="center"/>
    </xf>
    <xf numFmtId="43" fontId="18" fillId="0" borderId="6" xfId="6" applyFont="1" applyBorder="1" applyAlignment="1">
      <alignment horizontal="center" vertical="center"/>
    </xf>
    <xf numFmtId="43" fontId="18" fillId="0" borderId="22" xfId="6" applyFont="1" applyBorder="1" applyAlignment="1">
      <alignment horizontal="center" vertical="center"/>
    </xf>
    <xf numFmtId="43" fontId="18" fillId="0" borderId="29" xfId="6" applyFont="1" applyBorder="1" applyAlignment="1">
      <alignment horizontal="center" vertical="center"/>
    </xf>
    <xf numFmtId="183" fontId="106" fillId="0" borderId="35" xfId="0" applyFont="1" applyBorder="1" applyAlignment="1">
      <alignment horizontal="center" vertical="center"/>
    </xf>
    <xf numFmtId="183" fontId="107" fillId="0" borderId="35" xfId="0" applyFont="1" applyBorder="1" applyAlignment="1">
      <alignment horizontal="center" vertical="center"/>
    </xf>
    <xf numFmtId="183" fontId="108" fillId="0" borderId="0" xfId="0" applyFont="1">
      <alignment vertical="center"/>
    </xf>
  </cellXfs>
  <cellStyles count="13">
    <cellStyle name="0,0_x000d__x000a_NA_x000d__x000a_" xfId="9"/>
    <cellStyle name="百分比" xfId="3" builtinId="5"/>
    <cellStyle name="常规" xfId="0" builtinId="0"/>
    <cellStyle name="常规 14" xfId="10"/>
    <cellStyle name="常规 2" xfId="5"/>
    <cellStyle name="常规 3" xfId="7"/>
    <cellStyle name="常规 3 2" xfId="11"/>
    <cellStyle name="常规 3 3" xfId="12"/>
    <cellStyle name="常规 5" xfId="4"/>
    <cellStyle name="超链接" xfId="2" builtinId="8"/>
    <cellStyle name="千位分隔" xfId="6" builtinId="3"/>
    <cellStyle name="千位分隔 2" xfId="8"/>
    <cellStyle name="千位分隔[0]" xfId="1" builtinId="6"/>
  </cellStyles>
  <dxfs count="5">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patternType="solid">
          <fgColor rgb="FFFCE4D6"/>
          <bgColor rgb="FF00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externalLink" Target="externalLinks/externalLink1.xml"/><Relationship Id="rId50"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Lenovo\Documents\WeChat%20Files\wxid_xon43mrn5n0a22\FileStorage\File\2020-09\2020&#24180;&#22806;&#36152;&#19987;&#39033;&#36164;&#37329;&#34920;%20&#20110;&#31179;&#23454;8.1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提升公共服务能力"/>
      <sheetName val="2.重点服务进口"/>
      <sheetName val="3.承接国际服务外包业务（服务外包培训机构）"/>
      <sheetName val="4.承接国际服务外包业务（服务外包企业）"/>
      <sheetName val="5.技术出口业务"/>
      <sheetName val="烟台检验认证有限公司"/>
      <sheetName val="现代汽车研发中心"/>
      <sheetName val="山东凯翔"/>
      <sheetName val="山东豪迈科技"/>
      <sheetName val="明远家纺"/>
      <sheetName val="鲁泰企业品牌建设+技术创新奖项"/>
      <sheetName val="鲁泰促进服务贸易创新发展"/>
      <sheetName val="鲁泰手打版"/>
      <sheetName val="丰之源支持企业开拓国际市场"/>
      <sheetName val="丰之源鼓励服务外包企业加快发展服务外包业务"/>
      <sheetName val="英科申报表"/>
      <sheetName val="英科业务明细"/>
      <sheetName val="英科涉外收入"/>
      <sheetName val="一诺威"/>
      <sheetName val="宜臣轻工"/>
      <sheetName val="鼎宏申请表"/>
      <sheetName val="治德"/>
      <sheetName val="兰雁"/>
      <sheetName val="鲁丰织染"/>
      <sheetName val="双丰"/>
      <sheetName val="文登大成"/>
      <sheetName val="康派斯新能源银行"/>
      <sheetName val="浪潮威海海外服务有限公司"/>
      <sheetName val="荣成益德信息科技有限公司"/>
      <sheetName val="威海伯特利萨克迪汽车"/>
      <sheetName val="日月光半导体（威海有限公司）"/>
      <sheetName val="济南傲伟机械设备有限公司"/>
      <sheetName val="山东中天重工有限公司"/>
      <sheetName val="济南译软"/>
      <sheetName val="凌佳科技"/>
      <sheetName val="沃尔沃建筑设备技术（中国有限公司）"/>
      <sheetName val="山东中印服务外包"/>
      <sheetName val="济南讯和信息技术有限公司"/>
      <sheetName val="合鸿新材科技有限公司"/>
      <sheetName val="山东银丰家用纺织品有限公司"/>
      <sheetName val="银丰家用纺织品有限公司"/>
    </sheetNames>
    <sheetDataSet>
      <sheetData sheetId="0"/>
      <sheetData sheetId="1"/>
      <sheetData sheetId="2"/>
      <sheetData sheetId="3">
        <row r="31">
          <cell r="C31" t="str">
            <v>威海</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5.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theme="5"/>
  </sheetPr>
  <dimension ref="A1:AX203"/>
  <sheetViews>
    <sheetView zoomScale="60" zoomScaleNormal="60" workbookViewId="0">
      <pane xSplit="4" ySplit="1" topLeftCell="AF44" activePane="bottomRight" state="frozen"/>
      <selection activeCell="D47" sqref="D47"/>
      <selection pane="topRight" activeCell="D47" sqref="D47"/>
      <selection pane="bottomLeft" activeCell="D47" sqref="D47"/>
      <selection pane="bottomRight" activeCell="D47" sqref="D47"/>
    </sheetView>
  </sheetViews>
  <sheetFormatPr defaultColWidth="9" defaultRowHeight="18.75"/>
  <cols>
    <col min="1" max="1" width="10.625" style="648" customWidth="1"/>
    <col min="2" max="2" width="47" style="649" customWidth="1"/>
    <col min="3" max="3" width="13.5" style="650" customWidth="1"/>
    <col min="4" max="4" width="29.25" style="653" customWidth="1"/>
    <col min="5" max="5" width="12.875" style="533" hidden="1" customWidth="1"/>
    <col min="6" max="6" width="12.75" style="533" hidden="1" customWidth="1"/>
    <col min="7" max="7" width="22.5" style="533" hidden="1" customWidth="1"/>
    <col min="8" max="8" width="21.75" style="533" hidden="1" customWidth="1"/>
    <col min="9" max="9" width="12.625" style="533" hidden="1" customWidth="1"/>
    <col min="10" max="10" width="25.625" style="533" hidden="1" customWidth="1"/>
    <col min="11" max="11" width="20.5" style="533" hidden="1" customWidth="1"/>
    <col min="12" max="12" width="16.75" style="533" hidden="1" customWidth="1"/>
    <col min="13" max="13" width="15.875" style="533" hidden="1" customWidth="1"/>
    <col min="14" max="14" width="18.375" style="533" hidden="1" customWidth="1"/>
    <col min="15" max="15" width="21.25" style="533" hidden="1" customWidth="1"/>
    <col min="16" max="16" width="26.875" style="533" hidden="1" customWidth="1"/>
    <col min="17" max="17" width="18.25" style="533" hidden="1" customWidth="1"/>
    <col min="18" max="18" width="11.375" style="533" hidden="1" customWidth="1"/>
    <col min="19" max="19" width="13.75" style="533" hidden="1" customWidth="1"/>
    <col min="20" max="20" width="11.875" style="533" hidden="1" customWidth="1"/>
    <col min="21" max="21" width="17.25" style="561" hidden="1" customWidth="1"/>
    <col min="22" max="22" width="18.125" style="561" hidden="1" customWidth="1"/>
    <col min="23" max="23" width="28.5" style="561" hidden="1" customWidth="1"/>
    <col min="24" max="24" width="21.625" style="561" hidden="1" customWidth="1"/>
    <col min="25" max="25" width="19.75" style="561" hidden="1" customWidth="1"/>
    <col min="26" max="26" width="15" style="561" hidden="1" customWidth="1"/>
    <col min="27" max="27" width="18.5" style="561" hidden="1" customWidth="1"/>
    <col min="28" max="28" width="21.5" style="561" hidden="1" customWidth="1"/>
    <col min="29" max="29" width="19.875" style="561" hidden="1" customWidth="1"/>
    <col min="30" max="30" width="17.875" style="652" customWidth="1"/>
    <col min="31" max="32" width="17.375" style="561" customWidth="1"/>
    <col min="33" max="33" width="18.125" style="561" customWidth="1"/>
    <col min="34" max="34" width="21.75" style="652" customWidth="1"/>
    <col min="35" max="35" width="16.75" style="561" customWidth="1"/>
    <col min="36" max="36" width="18.125" style="558" customWidth="1"/>
    <col min="37" max="37" width="18.125" style="561" customWidth="1"/>
    <col min="38" max="38" width="18.125" style="680" customWidth="1"/>
    <col min="39" max="39" width="19.5" style="735" customWidth="1"/>
    <col min="40" max="40" width="19.5" style="673" customWidth="1"/>
    <col min="41" max="41" width="19.5" style="561" customWidth="1"/>
    <col min="42" max="42" width="13.625" style="561" customWidth="1"/>
    <col min="43" max="43" width="19.5" style="633" customWidth="1"/>
    <col min="44" max="44" width="19.5" style="654" customWidth="1"/>
    <col min="45" max="45" width="20.375" style="654" customWidth="1"/>
    <col min="46" max="46" width="8.5" style="654" hidden="1" customWidth="1"/>
    <col min="47" max="47" width="19.5" style="654" hidden="1" customWidth="1"/>
    <col min="48" max="48" width="25.625" style="649" customWidth="1"/>
    <col min="49" max="49" width="40.5" style="533" customWidth="1"/>
    <col min="50" max="16384" width="9" style="533"/>
  </cols>
  <sheetData>
    <row r="1" spans="1:50" s="573" customFormat="1" ht="77.45" customHeight="1">
      <c r="A1" s="564"/>
      <c r="B1" s="565" t="s">
        <v>46</v>
      </c>
      <c r="C1" s="566" t="s">
        <v>18</v>
      </c>
      <c r="D1" s="567" t="s">
        <v>3</v>
      </c>
      <c r="E1" s="769" t="s">
        <v>4</v>
      </c>
      <c r="F1" s="770"/>
      <c r="G1" s="770"/>
      <c r="H1" s="770"/>
      <c r="I1" s="770"/>
      <c r="J1" s="770"/>
      <c r="K1" s="770"/>
      <c r="L1" s="770"/>
      <c r="M1" s="770"/>
      <c r="N1" s="770"/>
      <c r="O1" s="770"/>
      <c r="P1" s="770"/>
      <c r="Q1" s="771"/>
      <c r="R1" s="765" t="s">
        <v>5</v>
      </c>
      <c r="S1" s="765"/>
      <c r="T1" s="765"/>
      <c r="U1" s="766" t="s">
        <v>6</v>
      </c>
      <c r="V1" s="767"/>
      <c r="W1" s="767"/>
      <c r="X1" s="767"/>
      <c r="Y1" s="767"/>
      <c r="Z1" s="767"/>
      <c r="AA1" s="767"/>
      <c r="AB1" s="767"/>
      <c r="AC1" s="768"/>
      <c r="AD1" s="568" t="s">
        <v>3068</v>
      </c>
      <c r="AE1" s="559" t="s">
        <v>3069</v>
      </c>
      <c r="AF1" s="559" t="s">
        <v>3093</v>
      </c>
      <c r="AG1" s="559" t="s">
        <v>3092</v>
      </c>
      <c r="AH1" s="559" t="s">
        <v>3105</v>
      </c>
      <c r="AI1" s="559" t="s">
        <v>3070</v>
      </c>
      <c r="AJ1" s="557" t="s">
        <v>3107</v>
      </c>
      <c r="AK1" s="559" t="s">
        <v>3108</v>
      </c>
      <c r="AL1" s="677" t="s">
        <v>3109</v>
      </c>
      <c r="AM1" s="725" t="s">
        <v>3122</v>
      </c>
      <c r="AN1" s="666" t="s">
        <v>3386</v>
      </c>
      <c r="AO1" s="559" t="s">
        <v>3387</v>
      </c>
      <c r="AP1" s="559" t="s">
        <v>3388</v>
      </c>
      <c r="AQ1" s="569" t="s">
        <v>3390</v>
      </c>
      <c r="AR1" s="570" t="s">
        <v>3391</v>
      </c>
      <c r="AS1" s="570" t="s">
        <v>3392</v>
      </c>
      <c r="AT1" s="570"/>
      <c r="AU1" s="570"/>
      <c r="AV1" s="571" t="s">
        <v>12</v>
      </c>
      <c r="AW1" s="572" t="s">
        <v>13</v>
      </c>
    </row>
    <row r="2" spans="1:50" s="584" customFormat="1" ht="36" customHeight="1">
      <c r="A2" s="574">
        <v>1</v>
      </c>
      <c r="B2" s="575" t="s">
        <v>3339</v>
      </c>
      <c r="C2" s="576" t="s">
        <v>73</v>
      </c>
      <c r="D2" s="577" t="s">
        <v>85</v>
      </c>
      <c r="E2" s="532" t="s">
        <v>3203</v>
      </c>
      <c r="F2" s="532" t="s">
        <v>3203</v>
      </c>
      <c r="G2" s="532" t="s">
        <v>3203</v>
      </c>
      <c r="H2" s="532" t="s">
        <v>3203</v>
      </c>
      <c r="I2" s="532" t="s">
        <v>3203</v>
      </c>
      <c r="J2" s="578"/>
      <c r="K2" s="578"/>
      <c r="L2" s="578"/>
      <c r="M2" s="578"/>
      <c r="N2" s="578"/>
      <c r="O2" s="578"/>
      <c r="P2" s="578"/>
      <c r="Q2" s="578" t="s">
        <v>3138</v>
      </c>
      <c r="R2" s="578" t="s">
        <v>3203</v>
      </c>
      <c r="S2" s="578"/>
      <c r="T2" s="578"/>
      <c r="U2" s="527"/>
      <c r="V2" s="527"/>
      <c r="W2" s="527"/>
      <c r="X2" s="527"/>
      <c r="Y2" s="527"/>
      <c r="Z2" s="527"/>
      <c r="AA2" s="527"/>
      <c r="AB2" s="527"/>
      <c r="AC2" s="527"/>
      <c r="AD2" s="530">
        <v>470.96</v>
      </c>
      <c r="AE2" s="530"/>
      <c r="AF2" s="529">
        <f>AD2-AM2</f>
        <v>15.95999999999998</v>
      </c>
      <c r="AG2" s="529"/>
      <c r="AH2" s="529">
        <f>AM2</f>
        <v>455</v>
      </c>
      <c r="AI2" s="579">
        <v>1</v>
      </c>
      <c r="AJ2" s="529">
        <v>455</v>
      </c>
      <c r="AK2" s="530">
        <v>72</v>
      </c>
      <c r="AL2" s="530">
        <f>AK2*7</f>
        <v>504</v>
      </c>
      <c r="AM2" s="726">
        <v>455</v>
      </c>
      <c r="AN2" s="667">
        <v>455</v>
      </c>
      <c r="AO2" s="580"/>
      <c r="AP2" s="530"/>
      <c r="AQ2" s="530">
        <v>1</v>
      </c>
      <c r="AR2" s="530">
        <f>AH2*AQ2</f>
        <v>455</v>
      </c>
      <c r="AS2" s="530">
        <f>AN2-AR2</f>
        <v>0</v>
      </c>
      <c r="AT2" s="581"/>
      <c r="AU2" s="581"/>
      <c r="AV2" s="577" t="s">
        <v>3340</v>
      </c>
      <c r="AW2" s="585" t="s">
        <v>3218</v>
      </c>
      <c r="AX2" s="583"/>
    </row>
    <row r="3" spans="1:50" s="584" customFormat="1" ht="36" customHeight="1">
      <c r="A3" s="524">
        <v>2</v>
      </c>
      <c r="B3" s="585" t="s">
        <v>3325</v>
      </c>
      <c r="C3" s="582" t="s">
        <v>129</v>
      </c>
      <c r="D3" s="585" t="s">
        <v>104</v>
      </c>
      <c r="E3" s="582" t="s">
        <v>75</v>
      </c>
      <c r="F3" s="586" t="s">
        <v>3187</v>
      </c>
      <c r="G3" s="582" t="s">
        <v>75</v>
      </c>
      <c r="H3" s="582" t="s">
        <v>75</v>
      </c>
      <c r="I3" s="582" t="s">
        <v>75</v>
      </c>
      <c r="J3" s="582" t="s">
        <v>75</v>
      </c>
      <c r="K3" s="582"/>
      <c r="L3" s="582"/>
      <c r="M3" s="582"/>
      <c r="N3" s="582"/>
      <c r="O3" s="582"/>
      <c r="P3" s="532"/>
      <c r="Q3" s="532"/>
      <c r="R3" s="532"/>
      <c r="S3" s="532"/>
      <c r="T3" s="532"/>
      <c r="U3" s="527"/>
      <c r="V3" s="527"/>
      <c r="W3" s="527"/>
      <c r="X3" s="527"/>
      <c r="Y3" s="527"/>
      <c r="Z3" s="527"/>
      <c r="AA3" s="527"/>
      <c r="AB3" s="527"/>
      <c r="AC3" s="527"/>
      <c r="AD3" s="529">
        <v>10</v>
      </c>
      <c r="AE3" s="529"/>
      <c r="AF3" s="529">
        <f t="shared" ref="AF3:AF65" si="0">AD3-AM3</f>
        <v>10</v>
      </c>
      <c r="AG3" s="530"/>
      <c r="AH3" s="529"/>
      <c r="AI3" s="579"/>
      <c r="AJ3" s="529"/>
      <c r="AK3" s="530"/>
      <c r="AL3" s="530"/>
      <c r="AM3" s="726">
        <v>0</v>
      </c>
      <c r="AN3" s="667"/>
      <c r="AO3" s="580"/>
      <c r="AP3" s="530"/>
      <c r="AQ3" s="530"/>
      <c r="AR3" s="530"/>
      <c r="AS3" s="530"/>
      <c r="AT3" s="581"/>
      <c r="AU3" s="581"/>
      <c r="AV3" s="525" t="s">
        <v>3229</v>
      </c>
      <c r="AW3" s="532"/>
      <c r="AX3" s="583"/>
    </row>
    <row r="4" spans="1:50" s="584" customFormat="1" ht="36" customHeight="1">
      <c r="A4" s="524">
        <v>2</v>
      </c>
      <c r="B4" s="585" t="s">
        <v>3228</v>
      </c>
      <c r="C4" s="582" t="s">
        <v>129</v>
      </c>
      <c r="D4" s="585" t="s">
        <v>3338</v>
      </c>
      <c r="E4" s="582" t="s">
        <v>75</v>
      </c>
      <c r="F4" s="582" t="s">
        <v>75</v>
      </c>
      <c r="G4" s="582" t="s">
        <v>75</v>
      </c>
      <c r="H4" s="582" t="s">
        <v>75</v>
      </c>
      <c r="I4" s="582" t="s">
        <v>75</v>
      </c>
      <c r="J4" s="582" t="s">
        <v>75</v>
      </c>
      <c r="K4" s="582"/>
      <c r="L4" s="586"/>
      <c r="M4" s="582"/>
      <c r="N4" s="582"/>
      <c r="O4" s="582"/>
      <c r="P4" s="532"/>
      <c r="Q4" s="532"/>
      <c r="R4" s="532"/>
      <c r="S4" s="532"/>
      <c r="T4" s="532"/>
      <c r="U4" s="527"/>
      <c r="V4" s="527"/>
      <c r="W4" s="527"/>
      <c r="X4" s="527"/>
      <c r="Y4" s="527"/>
      <c r="Z4" s="527"/>
      <c r="AA4" s="527"/>
      <c r="AB4" s="527"/>
      <c r="AC4" s="527"/>
      <c r="AD4" s="529">
        <v>0.45</v>
      </c>
      <c r="AE4" s="529"/>
      <c r="AF4" s="529">
        <f t="shared" si="0"/>
        <v>0</v>
      </c>
      <c r="AG4" s="530"/>
      <c r="AH4" s="529"/>
      <c r="AI4" s="579"/>
      <c r="AJ4" s="529"/>
      <c r="AK4" s="530"/>
      <c r="AL4" s="530"/>
      <c r="AM4" s="726">
        <v>0.45</v>
      </c>
      <c r="AN4" s="667"/>
      <c r="AO4" s="580"/>
      <c r="AP4" s="530"/>
      <c r="AQ4" s="530"/>
      <c r="AR4" s="530"/>
      <c r="AS4" s="530"/>
      <c r="AT4" s="581"/>
      <c r="AU4" s="581"/>
      <c r="AV4" s="531"/>
      <c r="AW4" s="532"/>
      <c r="AX4" s="583"/>
    </row>
    <row r="5" spans="1:50" s="584" customFormat="1" ht="36" customHeight="1">
      <c r="A5" s="524">
        <v>2</v>
      </c>
      <c r="B5" s="585" t="s">
        <v>3227</v>
      </c>
      <c r="C5" s="582" t="s">
        <v>129</v>
      </c>
      <c r="D5" s="585" t="s">
        <v>99</v>
      </c>
      <c r="E5" s="582" t="s">
        <v>75</v>
      </c>
      <c r="F5" s="582" t="s">
        <v>75</v>
      </c>
      <c r="G5" s="582" t="s">
        <v>75</v>
      </c>
      <c r="H5" s="582" t="s">
        <v>75</v>
      </c>
      <c r="I5" s="582" t="s">
        <v>75</v>
      </c>
      <c r="J5" s="582" t="s">
        <v>75</v>
      </c>
      <c r="K5" s="582"/>
      <c r="L5" s="582"/>
      <c r="M5" s="586" t="s">
        <v>3188</v>
      </c>
      <c r="N5" s="582"/>
      <c r="O5" s="582"/>
      <c r="P5" s="532"/>
      <c r="Q5" s="532"/>
      <c r="R5" s="532"/>
      <c r="S5" s="532"/>
      <c r="T5" s="532"/>
      <c r="U5" s="527"/>
      <c r="V5" s="527"/>
      <c r="W5" s="527"/>
      <c r="X5" s="527"/>
      <c r="Y5" s="527"/>
      <c r="Z5" s="527"/>
      <c r="AA5" s="527"/>
      <c r="AB5" s="527"/>
      <c r="AC5" s="527"/>
      <c r="AD5" s="529">
        <v>0.6</v>
      </c>
      <c r="AE5" s="529"/>
      <c r="AF5" s="529">
        <f t="shared" si="0"/>
        <v>0.6</v>
      </c>
      <c r="AG5" s="530"/>
      <c r="AH5" s="529"/>
      <c r="AI5" s="579"/>
      <c r="AJ5" s="529">
        <v>0</v>
      </c>
      <c r="AK5" s="530"/>
      <c r="AL5" s="530"/>
      <c r="AM5" s="726">
        <v>0</v>
      </c>
      <c r="AN5" s="667"/>
      <c r="AO5" s="580"/>
      <c r="AP5" s="530"/>
      <c r="AQ5" s="530"/>
      <c r="AR5" s="530"/>
      <c r="AS5" s="530"/>
      <c r="AT5" s="581"/>
      <c r="AU5" s="581"/>
      <c r="AV5" s="525" t="s">
        <v>3199</v>
      </c>
      <c r="AW5" s="532"/>
      <c r="AX5" s="583"/>
    </row>
    <row r="6" spans="1:50" s="584" customFormat="1" ht="36" customHeight="1">
      <c r="A6" s="524">
        <v>2</v>
      </c>
      <c r="B6" s="585" t="s">
        <v>3396</v>
      </c>
      <c r="C6" s="582" t="s">
        <v>129</v>
      </c>
      <c r="D6" s="577" t="s">
        <v>85</v>
      </c>
      <c r="E6" s="582" t="s">
        <v>75</v>
      </c>
      <c r="F6" s="582" t="s">
        <v>75</v>
      </c>
      <c r="G6" s="582" t="s">
        <v>75</v>
      </c>
      <c r="H6" s="582" t="s">
        <v>75</v>
      </c>
      <c r="I6" s="582" t="s">
        <v>75</v>
      </c>
      <c r="J6" s="582" t="s">
        <v>75</v>
      </c>
      <c r="K6" s="582"/>
      <c r="L6" s="582"/>
      <c r="M6" s="582"/>
      <c r="N6" s="582"/>
      <c r="O6" s="582"/>
      <c r="P6" s="532"/>
      <c r="Q6" s="532"/>
      <c r="R6" s="532"/>
      <c r="S6" s="532"/>
      <c r="T6" s="532"/>
      <c r="U6" s="527"/>
      <c r="V6" s="527"/>
      <c r="W6" s="527"/>
      <c r="X6" s="527"/>
      <c r="Y6" s="527"/>
      <c r="Z6" s="527"/>
      <c r="AA6" s="527"/>
      <c r="AB6" s="527"/>
      <c r="AC6" s="527"/>
      <c r="AD6" s="529">
        <v>357.87799999999999</v>
      </c>
      <c r="AE6" s="529"/>
      <c r="AF6" s="529">
        <f t="shared" si="0"/>
        <v>0.8779999999999859</v>
      </c>
      <c r="AG6" s="530"/>
      <c r="AH6" s="529">
        <f>AM6</f>
        <v>357</v>
      </c>
      <c r="AI6" s="579">
        <v>1</v>
      </c>
      <c r="AJ6" s="529">
        <v>357.878422</v>
      </c>
      <c r="AK6" s="530">
        <v>53</v>
      </c>
      <c r="AL6" s="530">
        <f>AK6*7</f>
        <v>371</v>
      </c>
      <c r="AM6" s="726">
        <v>357</v>
      </c>
      <c r="AN6" s="667">
        <v>357</v>
      </c>
      <c r="AO6" s="580">
        <f>AM6-AN6</f>
        <v>0</v>
      </c>
      <c r="AP6" s="530"/>
      <c r="AQ6" s="545"/>
      <c r="AR6" s="587">
        <f>AN6</f>
        <v>357</v>
      </c>
      <c r="AS6" s="587"/>
      <c r="AT6" s="588"/>
      <c r="AU6" s="588"/>
      <c r="AV6" s="525" t="s">
        <v>3200</v>
      </c>
      <c r="AW6" s="532"/>
      <c r="AX6" s="583"/>
    </row>
    <row r="7" spans="1:50" s="584" customFormat="1" ht="36" customHeight="1">
      <c r="A7" s="524">
        <v>3</v>
      </c>
      <c r="B7" s="575" t="s">
        <v>3341</v>
      </c>
      <c r="C7" s="582" t="s">
        <v>129</v>
      </c>
      <c r="D7" s="575" t="s">
        <v>101</v>
      </c>
      <c r="E7" s="589" t="s">
        <v>3224</v>
      </c>
      <c r="F7" s="589" t="s">
        <v>3224</v>
      </c>
      <c r="G7" s="589" t="s">
        <v>3224</v>
      </c>
      <c r="H7" s="589" t="s">
        <v>3224</v>
      </c>
      <c r="I7" s="589" t="s">
        <v>3225</v>
      </c>
      <c r="J7" s="542" t="s">
        <v>3224</v>
      </c>
      <c r="K7" s="589" t="s">
        <v>3224</v>
      </c>
      <c r="L7" s="589"/>
      <c r="M7" s="589"/>
      <c r="N7" s="589"/>
      <c r="O7" s="589"/>
      <c r="P7" s="589"/>
      <c r="Q7" s="589"/>
      <c r="R7" s="589" t="s">
        <v>3224</v>
      </c>
      <c r="S7" s="589"/>
      <c r="T7" s="589"/>
      <c r="U7" s="527"/>
      <c r="V7" s="527"/>
      <c r="W7" s="527"/>
      <c r="X7" s="527"/>
      <c r="Y7" s="527"/>
      <c r="Z7" s="527"/>
      <c r="AA7" s="527"/>
      <c r="AB7" s="527"/>
      <c r="AC7" s="527"/>
      <c r="AD7" s="529">
        <v>1.1000000000000001</v>
      </c>
      <c r="AE7" s="529"/>
      <c r="AF7" s="529">
        <f t="shared" si="0"/>
        <v>0.10000000000000009</v>
      </c>
      <c r="AG7" s="529"/>
      <c r="AH7" s="530"/>
      <c r="AI7" s="545"/>
      <c r="AJ7" s="529"/>
      <c r="AK7" s="530"/>
      <c r="AL7" s="530"/>
      <c r="AM7" s="726">
        <v>1</v>
      </c>
      <c r="AN7" s="667"/>
      <c r="AO7" s="580"/>
      <c r="AP7" s="530"/>
      <c r="AQ7" s="530"/>
      <c r="AR7" s="530"/>
      <c r="AS7" s="530"/>
      <c r="AT7" s="581"/>
      <c r="AU7" s="581"/>
      <c r="AV7" s="575"/>
      <c r="AW7" s="542" t="s">
        <v>3328</v>
      </c>
      <c r="AX7" s="583"/>
    </row>
    <row r="8" spans="1:50" s="584" customFormat="1" ht="36" customHeight="1">
      <c r="A8" s="524">
        <v>3</v>
      </c>
      <c r="B8" s="575" t="s">
        <v>3223</v>
      </c>
      <c r="C8" s="582" t="s">
        <v>129</v>
      </c>
      <c r="D8" s="585" t="s">
        <v>99</v>
      </c>
      <c r="E8" s="589" t="s">
        <v>3224</v>
      </c>
      <c r="F8" s="589" t="s">
        <v>3224</v>
      </c>
      <c r="G8" s="589" t="s">
        <v>3224</v>
      </c>
      <c r="H8" s="589" t="s">
        <v>3224</v>
      </c>
      <c r="I8" s="589" t="s">
        <v>3225</v>
      </c>
      <c r="J8" s="542" t="s">
        <v>3224</v>
      </c>
      <c r="K8" s="589"/>
      <c r="L8" s="589"/>
      <c r="M8" s="542" t="s">
        <v>3226</v>
      </c>
      <c r="N8" s="589"/>
      <c r="O8" s="589"/>
      <c r="P8" s="589"/>
      <c r="Q8" s="589"/>
      <c r="R8" s="589" t="s">
        <v>3224</v>
      </c>
      <c r="S8" s="589"/>
      <c r="T8" s="589"/>
      <c r="U8" s="527"/>
      <c r="V8" s="527"/>
      <c r="W8" s="527"/>
      <c r="X8" s="527"/>
      <c r="Y8" s="527"/>
      <c r="Z8" s="527"/>
      <c r="AA8" s="527"/>
      <c r="AB8" s="527"/>
      <c r="AC8" s="527"/>
      <c r="AD8" s="529">
        <v>5.6</v>
      </c>
      <c r="AE8" s="529"/>
      <c r="AF8" s="529">
        <f t="shared" si="0"/>
        <v>0</v>
      </c>
      <c r="AG8" s="529"/>
      <c r="AH8" s="530"/>
      <c r="AI8" s="545"/>
      <c r="AJ8" s="529"/>
      <c r="AK8" s="530"/>
      <c r="AL8" s="530"/>
      <c r="AM8" s="726">
        <v>5.6</v>
      </c>
      <c r="AN8" s="667"/>
      <c r="AO8" s="580"/>
      <c r="AP8" s="530"/>
      <c r="AQ8" s="530"/>
      <c r="AR8" s="530"/>
      <c r="AS8" s="530"/>
      <c r="AT8" s="581"/>
      <c r="AU8" s="581"/>
      <c r="AV8" s="525"/>
      <c r="AW8" s="542" t="s">
        <v>3329</v>
      </c>
      <c r="AX8" s="583"/>
    </row>
    <row r="9" spans="1:50" s="584" customFormat="1" ht="36" customHeight="1">
      <c r="A9" s="524">
        <v>3</v>
      </c>
      <c r="B9" s="575" t="s">
        <v>3389</v>
      </c>
      <c r="C9" s="582" t="s">
        <v>129</v>
      </c>
      <c r="D9" s="577" t="s">
        <v>85</v>
      </c>
      <c r="E9" s="589" t="s">
        <v>3224</v>
      </c>
      <c r="F9" s="589" t="s">
        <v>3224</v>
      </c>
      <c r="G9" s="589" t="s">
        <v>3224</v>
      </c>
      <c r="H9" s="589" t="s">
        <v>3224</v>
      </c>
      <c r="I9" s="589" t="s">
        <v>3225</v>
      </c>
      <c r="J9" s="542" t="s">
        <v>3224</v>
      </c>
      <c r="K9" s="589"/>
      <c r="L9" s="589"/>
      <c r="M9" s="589"/>
      <c r="N9" s="589"/>
      <c r="O9" s="589"/>
      <c r="P9" s="589"/>
      <c r="Q9" s="589" t="s">
        <v>3224</v>
      </c>
      <c r="R9" s="589" t="s">
        <v>3224</v>
      </c>
      <c r="S9" s="589"/>
      <c r="T9" s="589"/>
      <c r="U9" s="527"/>
      <c r="V9" s="527"/>
      <c r="W9" s="527"/>
      <c r="X9" s="527"/>
      <c r="Y9" s="527"/>
      <c r="Z9" s="527"/>
      <c r="AA9" s="527"/>
      <c r="AB9" s="527"/>
      <c r="AC9" s="527"/>
      <c r="AD9" s="529">
        <f>AE9*7</f>
        <v>406</v>
      </c>
      <c r="AE9" s="529">
        <v>58</v>
      </c>
      <c r="AF9" s="529">
        <f t="shared" si="0"/>
        <v>113.39999999999998</v>
      </c>
      <c r="AG9" s="529"/>
      <c r="AH9" s="530">
        <f>418*7</f>
        <v>2926</v>
      </c>
      <c r="AI9" s="545">
        <v>0.1</v>
      </c>
      <c r="AJ9" s="530">
        <f>AH9*AI9</f>
        <v>292.60000000000002</v>
      </c>
      <c r="AK9" s="530">
        <v>419</v>
      </c>
      <c r="AL9" s="530">
        <f>AK9*7</f>
        <v>2933</v>
      </c>
      <c r="AM9" s="726">
        <v>292.60000000000002</v>
      </c>
      <c r="AN9" s="667">
        <v>138</v>
      </c>
      <c r="AO9" s="580">
        <f>AM9-AN9</f>
        <v>154.60000000000002</v>
      </c>
      <c r="AP9" s="530">
        <f>AO9/AN9</f>
        <v>1.120289855072464</v>
      </c>
      <c r="AQ9" s="590">
        <f>AI9-5%</f>
        <v>0.05</v>
      </c>
      <c r="AR9" s="587">
        <f>AH9*AQ9</f>
        <v>146.30000000000001</v>
      </c>
      <c r="AS9" s="587">
        <f>AN9-AR9</f>
        <v>-8.3000000000000114</v>
      </c>
      <c r="AT9" s="588"/>
      <c r="AU9" s="588"/>
      <c r="AV9" s="525"/>
      <c r="AW9" s="542" t="s">
        <v>3330</v>
      </c>
      <c r="AX9" s="583"/>
    </row>
    <row r="10" spans="1:50" s="584" customFormat="1" ht="36" customHeight="1">
      <c r="A10" s="524">
        <v>4</v>
      </c>
      <c r="B10" s="575" t="s">
        <v>3342</v>
      </c>
      <c r="C10" s="576" t="s">
        <v>89</v>
      </c>
      <c r="D10" s="525" t="s">
        <v>101</v>
      </c>
      <c r="E10" s="576" t="s">
        <v>75</v>
      </c>
      <c r="F10" s="576" t="s">
        <v>75</v>
      </c>
      <c r="G10" s="576" t="s">
        <v>75</v>
      </c>
      <c r="H10" s="576" t="s">
        <v>75</v>
      </c>
      <c r="I10" s="576" t="s">
        <v>75</v>
      </c>
      <c r="J10" s="542" t="s">
        <v>102</v>
      </c>
      <c r="K10" s="576" t="s">
        <v>75</v>
      </c>
      <c r="L10" s="589"/>
      <c r="M10" s="589"/>
      <c r="N10" s="589"/>
      <c r="O10" s="589"/>
      <c r="P10" s="589"/>
      <c r="Q10" s="589"/>
      <c r="R10" s="576" t="s">
        <v>75</v>
      </c>
      <c r="S10" s="532"/>
      <c r="T10" s="532"/>
      <c r="U10" s="527"/>
      <c r="V10" s="527"/>
      <c r="W10" s="527"/>
      <c r="X10" s="527"/>
      <c r="Y10" s="527"/>
      <c r="Z10" s="527"/>
      <c r="AA10" s="527"/>
      <c r="AB10" s="527"/>
      <c r="AC10" s="527"/>
      <c r="AD10" s="529">
        <v>1</v>
      </c>
      <c r="AE10" s="529"/>
      <c r="AF10" s="529">
        <f t="shared" si="0"/>
        <v>0</v>
      </c>
      <c r="AG10" s="529"/>
      <c r="AH10" s="529"/>
      <c r="AI10" s="579"/>
      <c r="AJ10" s="530"/>
      <c r="AK10" s="530"/>
      <c r="AL10" s="530"/>
      <c r="AM10" s="726">
        <v>1</v>
      </c>
      <c r="AN10" s="667"/>
      <c r="AO10" s="580"/>
      <c r="AP10" s="530"/>
      <c r="AQ10" s="530"/>
      <c r="AR10" s="530"/>
      <c r="AS10" s="530"/>
      <c r="AT10" s="581"/>
      <c r="AU10" s="581"/>
      <c r="AV10" s="575"/>
      <c r="AW10" s="532"/>
      <c r="AX10" s="583"/>
    </row>
    <row r="11" spans="1:50" s="584" customFormat="1" ht="36" customHeight="1">
      <c r="A11" s="524">
        <v>4</v>
      </c>
      <c r="B11" s="575" t="s">
        <v>100</v>
      </c>
      <c r="C11" s="576" t="s">
        <v>89</v>
      </c>
      <c r="D11" s="525" t="s">
        <v>98</v>
      </c>
      <c r="E11" s="576" t="s">
        <v>75</v>
      </c>
      <c r="F11" s="576" t="s">
        <v>75</v>
      </c>
      <c r="G11" s="576" t="s">
        <v>75</v>
      </c>
      <c r="H11" s="576" t="s">
        <v>75</v>
      </c>
      <c r="I11" s="576" t="s">
        <v>75</v>
      </c>
      <c r="J11" s="542" t="s">
        <v>102</v>
      </c>
      <c r="K11" s="589"/>
      <c r="L11" s="576" t="s">
        <v>75</v>
      </c>
      <c r="M11" s="589"/>
      <c r="N11" s="589"/>
      <c r="O11" s="589"/>
      <c r="P11" s="589"/>
      <c r="Q11" s="589"/>
      <c r="R11" s="576" t="s">
        <v>75</v>
      </c>
      <c r="S11" s="532"/>
      <c r="T11" s="532"/>
      <c r="U11" s="527"/>
      <c r="V11" s="527"/>
      <c r="W11" s="527"/>
      <c r="X11" s="527"/>
      <c r="Y11" s="527"/>
      <c r="Z11" s="527"/>
      <c r="AA11" s="527"/>
      <c r="AB11" s="527"/>
      <c r="AC11" s="527"/>
      <c r="AD11" s="529">
        <v>17.850000000000001</v>
      </c>
      <c r="AE11" s="529"/>
      <c r="AF11" s="529">
        <f t="shared" si="0"/>
        <v>0.89999999999999858</v>
      </c>
      <c r="AG11" s="529"/>
      <c r="AH11" s="529"/>
      <c r="AI11" s="579"/>
      <c r="AJ11" s="530"/>
      <c r="AK11" s="530"/>
      <c r="AL11" s="530"/>
      <c r="AM11" s="726">
        <v>16.950000000000003</v>
      </c>
      <c r="AN11" s="667"/>
      <c r="AO11" s="580"/>
      <c r="AP11" s="530"/>
      <c r="AQ11" s="530"/>
      <c r="AR11" s="530"/>
      <c r="AS11" s="530"/>
      <c r="AT11" s="581"/>
      <c r="AU11" s="581"/>
      <c r="AV11" s="575"/>
      <c r="AW11" s="532"/>
      <c r="AX11" s="583"/>
    </row>
    <row r="12" spans="1:50" s="584" customFormat="1" ht="36" customHeight="1">
      <c r="A12" s="524">
        <v>4</v>
      </c>
      <c r="B12" s="575" t="s">
        <v>3230</v>
      </c>
      <c r="C12" s="576" t="s">
        <v>89</v>
      </c>
      <c r="D12" s="525" t="s">
        <v>104</v>
      </c>
      <c r="E12" s="576" t="s">
        <v>75</v>
      </c>
      <c r="F12" s="576" t="s">
        <v>75</v>
      </c>
      <c r="G12" s="576" t="s">
        <v>75</v>
      </c>
      <c r="H12" s="576" t="s">
        <v>75</v>
      </c>
      <c r="I12" s="576" t="s">
        <v>75</v>
      </c>
      <c r="J12" s="542" t="s">
        <v>102</v>
      </c>
      <c r="K12" s="589"/>
      <c r="L12" s="589"/>
      <c r="M12" s="589"/>
      <c r="N12" s="576" t="s">
        <v>75</v>
      </c>
      <c r="O12" s="589"/>
      <c r="P12" s="589"/>
      <c r="Q12" s="589"/>
      <c r="R12" s="576" t="s">
        <v>75</v>
      </c>
      <c r="S12" s="532"/>
      <c r="T12" s="532"/>
      <c r="U12" s="527"/>
      <c r="V12" s="527"/>
      <c r="W12" s="527"/>
      <c r="X12" s="527"/>
      <c r="Y12" s="527"/>
      <c r="Z12" s="527"/>
      <c r="AA12" s="527"/>
      <c r="AB12" s="527"/>
      <c r="AC12" s="527"/>
      <c r="AD12" s="529">
        <v>10</v>
      </c>
      <c r="AE12" s="529"/>
      <c r="AF12" s="529">
        <f t="shared" si="0"/>
        <v>0</v>
      </c>
      <c r="AG12" s="529"/>
      <c r="AH12" s="529"/>
      <c r="AI12" s="579"/>
      <c r="AJ12" s="530"/>
      <c r="AK12" s="530"/>
      <c r="AL12" s="530"/>
      <c r="AM12" s="726">
        <v>10</v>
      </c>
      <c r="AN12" s="667"/>
      <c r="AO12" s="580"/>
      <c r="AP12" s="530"/>
      <c r="AQ12" s="530"/>
      <c r="AR12" s="530"/>
      <c r="AS12" s="530"/>
      <c r="AT12" s="581"/>
      <c r="AU12" s="581"/>
      <c r="AV12" s="575"/>
      <c r="AW12" s="532"/>
      <c r="AX12" s="583"/>
    </row>
    <row r="13" spans="1:50" s="584" customFormat="1" ht="36" customHeight="1">
      <c r="A13" s="524">
        <v>4</v>
      </c>
      <c r="B13" s="575" t="s">
        <v>100</v>
      </c>
      <c r="C13" s="576" t="s">
        <v>89</v>
      </c>
      <c r="D13" s="525" t="s">
        <v>105</v>
      </c>
      <c r="E13" s="576" t="s">
        <v>75</v>
      </c>
      <c r="F13" s="576" t="s">
        <v>75</v>
      </c>
      <c r="G13" s="576" t="s">
        <v>75</v>
      </c>
      <c r="H13" s="576" t="s">
        <v>75</v>
      </c>
      <c r="I13" s="576" t="s">
        <v>75</v>
      </c>
      <c r="J13" s="542" t="s">
        <v>102</v>
      </c>
      <c r="K13" s="589"/>
      <c r="L13" s="589"/>
      <c r="M13" s="589"/>
      <c r="N13" s="589"/>
      <c r="O13" s="589"/>
      <c r="P13" s="589"/>
      <c r="Q13" s="589"/>
      <c r="R13" s="576" t="s">
        <v>75</v>
      </c>
      <c r="S13" s="532"/>
      <c r="T13" s="532"/>
      <c r="U13" s="527"/>
      <c r="V13" s="527"/>
      <c r="W13" s="527"/>
      <c r="X13" s="527"/>
      <c r="Y13" s="527"/>
      <c r="Z13" s="527"/>
      <c r="AA13" s="527"/>
      <c r="AB13" s="527"/>
      <c r="AC13" s="527"/>
      <c r="AD13" s="529">
        <v>10</v>
      </c>
      <c r="AE13" s="529"/>
      <c r="AF13" s="529">
        <f t="shared" si="0"/>
        <v>10</v>
      </c>
      <c r="AG13" s="529"/>
      <c r="AH13" s="529"/>
      <c r="AI13" s="579"/>
      <c r="AJ13" s="530"/>
      <c r="AK13" s="530"/>
      <c r="AL13" s="530"/>
      <c r="AM13" s="726">
        <v>0</v>
      </c>
      <c r="AN13" s="667"/>
      <c r="AO13" s="580"/>
      <c r="AP13" s="530"/>
      <c r="AQ13" s="530"/>
      <c r="AR13" s="530"/>
      <c r="AS13" s="530"/>
      <c r="AT13" s="581"/>
      <c r="AU13" s="581"/>
      <c r="AV13" s="575" t="s">
        <v>3231</v>
      </c>
      <c r="AW13" s="532"/>
      <c r="AX13" s="583"/>
    </row>
    <row r="14" spans="1:50" s="584" customFormat="1" ht="36" customHeight="1">
      <c r="A14" s="524">
        <v>4</v>
      </c>
      <c r="B14" s="575" t="s">
        <v>3439</v>
      </c>
      <c r="C14" s="576" t="s">
        <v>89</v>
      </c>
      <c r="D14" s="577" t="s">
        <v>85</v>
      </c>
      <c r="E14" s="576" t="s">
        <v>75</v>
      </c>
      <c r="F14" s="576" t="s">
        <v>75</v>
      </c>
      <c r="G14" s="576" t="s">
        <v>75</v>
      </c>
      <c r="H14" s="576" t="s">
        <v>75</v>
      </c>
      <c r="I14" s="576" t="s">
        <v>75</v>
      </c>
      <c r="J14" s="542" t="s">
        <v>102</v>
      </c>
      <c r="K14" s="589"/>
      <c r="L14" s="589"/>
      <c r="M14" s="589"/>
      <c r="N14" s="589"/>
      <c r="O14" s="589"/>
      <c r="P14" s="589"/>
      <c r="Q14" s="576" t="s">
        <v>75</v>
      </c>
      <c r="R14" s="576" t="s">
        <v>75</v>
      </c>
      <c r="S14" s="532"/>
      <c r="T14" s="532"/>
      <c r="U14" s="527"/>
      <c r="V14" s="527"/>
      <c r="W14" s="527"/>
      <c r="X14" s="527"/>
      <c r="Y14" s="527"/>
      <c r="Z14" s="527"/>
      <c r="AA14" s="527"/>
      <c r="AB14" s="527"/>
      <c r="AC14" s="527"/>
      <c r="AD14" s="529">
        <f>AE14*7.0795</f>
        <v>4608.7545</v>
      </c>
      <c r="AE14" s="529">
        <v>651</v>
      </c>
      <c r="AF14" s="529">
        <f t="shared" si="0"/>
        <v>4608.7545</v>
      </c>
      <c r="AG14" s="529"/>
      <c r="AH14" s="529"/>
      <c r="AI14" s="579"/>
      <c r="AJ14" s="530"/>
      <c r="AK14" s="530"/>
      <c r="AL14" s="530"/>
      <c r="AM14" s="726">
        <v>0</v>
      </c>
      <c r="AN14" s="667"/>
      <c r="AO14" s="580"/>
      <c r="AP14" s="530"/>
      <c r="AQ14" s="530"/>
      <c r="AR14" s="530"/>
      <c r="AS14" s="530"/>
      <c r="AT14" s="581"/>
      <c r="AU14" s="581"/>
      <c r="AV14" s="575" t="s">
        <v>3095</v>
      </c>
      <c r="AW14" s="532"/>
      <c r="AX14" s="583"/>
    </row>
    <row r="15" spans="1:50" s="584" customFormat="1" ht="36" customHeight="1">
      <c r="A15" s="574">
        <v>5</v>
      </c>
      <c r="B15" s="575" t="s">
        <v>3344</v>
      </c>
      <c r="C15" s="576" t="s">
        <v>3205</v>
      </c>
      <c r="D15" s="577" t="s">
        <v>85</v>
      </c>
      <c r="E15" s="532" t="s">
        <v>3203</v>
      </c>
      <c r="F15" s="532" t="s">
        <v>3203</v>
      </c>
      <c r="G15" s="532" t="s">
        <v>3203</v>
      </c>
      <c r="H15" s="532" t="s">
        <v>3203</v>
      </c>
      <c r="I15" s="532" t="s">
        <v>3203</v>
      </c>
      <c r="J15" s="532" t="s">
        <v>3212</v>
      </c>
      <c r="K15" s="532"/>
      <c r="L15" s="532"/>
      <c r="M15" s="532"/>
      <c r="N15" s="532"/>
      <c r="O15" s="532"/>
      <c r="P15" s="532"/>
      <c r="Q15" s="532" t="s">
        <v>3203</v>
      </c>
      <c r="R15" s="532" t="s">
        <v>3203</v>
      </c>
      <c r="S15" s="532"/>
      <c r="T15" s="532"/>
      <c r="U15" s="532"/>
      <c r="V15" s="532"/>
      <c r="W15" s="532"/>
      <c r="X15" s="532"/>
      <c r="Y15" s="532"/>
      <c r="Z15" s="532"/>
      <c r="AA15" s="527"/>
      <c r="AB15" s="527"/>
      <c r="AC15" s="527"/>
      <c r="AD15" s="530">
        <v>375.28</v>
      </c>
      <c r="AE15" s="530"/>
      <c r="AF15" s="529">
        <f t="shared" si="0"/>
        <v>0.27999999999997272</v>
      </c>
      <c r="AG15" s="529"/>
      <c r="AH15" s="530"/>
      <c r="AI15" s="545">
        <v>1</v>
      </c>
      <c r="AJ15" s="530">
        <f>AD15</f>
        <v>375.28</v>
      </c>
      <c r="AK15" s="530"/>
      <c r="AL15" s="530"/>
      <c r="AM15" s="726">
        <v>375</v>
      </c>
      <c r="AN15" s="667">
        <f>AM15</f>
        <v>375</v>
      </c>
      <c r="AO15" s="580"/>
      <c r="AP15" s="530"/>
      <c r="AQ15" s="530"/>
      <c r="AR15" s="530"/>
      <c r="AS15" s="530"/>
      <c r="AT15" s="581"/>
      <c r="AU15" s="581"/>
      <c r="AV15" s="575" t="s">
        <v>3343</v>
      </c>
      <c r="AW15" s="582" t="s">
        <v>3217</v>
      </c>
      <c r="AX15" s="583"/>
    </row>
    <row r="16" spans="1:50" s="584" customFormat="1" ht="36" customHeight="1">
      <c r="A16" s="574">
        <v>6</v>
      </c>
      <c r="B16" s="575" t="s">
        <v>3235</v>
      </c>
      <c r="C16" s="576" t="s">
        <v>3205</v>
      </c>
      <c r="D16" s="575" t="s">
        <v>101</v>
      </c>
      <c r="E16" s="532" t="s">
        <v>75</v>
      </c>
      <c r="F16" s="532" t="s">
        <v>3206</v>
      </c>
      <c r="G16" s="532" t="s">
        <v>75</v>
      </c>
      <c r="H16" s="532" t="s">
        <v>75</v>
      </c>
      <c r="I16" s="532" t="s">
        <v>75</v>
      </c>
      <c r="J16" s="532" t="s">
        <v>3207</v>
      </c>
      <c r="K16" s="532" t="s">
        <v>75</v>
      </c>
      <c r="L16" s="532"/>
      <c r="M16" s="532"/>
      <c r="N16" s="532"/>
      <c r="O16" s="532"/>
      <c r="P16" s="532"/>
      <c r="Q16" s="532"/>
      <c r="R16" s="532" t="s">
        <v>75</v>
      </c>
      <c r="S16" s="532"/>
      <c r="T16" s="532"/>
      <c r="U16" s="527">
        <v>38.200000000000003</v>
      </c>
      <c r="V16" s="527"/>
      <c r="W16" s="527"/>
      <c r="X16" s="527"/>
      <c r="Y16" s="527"/>
      <c r="Z16" s="527"/>
      <c r="AA16" s="527"/>
      <c r="AB16" s="527"/>
      <c r="AC16" s="527"/>
      <c r="AD16" s="530">
        <v>38.200000000000003</v>
      </c>
      <c r="AE16" s="530"/>
      <c r="AF16" s="529">
        <f t="shared" si="0"/>
        <v>8.1999999999999993</v>
      </c>
      <c r="AG16" s="530"/>
      <c r="AH16" s="530"/>
      <c r="AI16" s="545"/>
      <c r="AJ16" s="530"/>
      <c r="AK16" s="530"/>
      <c r="AL16" s="530"/>
      <c r="AM16" s="726">
        <v>30.000000000000004</v>
      </c>
      <c r="AN16" s="667">
        <f>AM16</f>
        <v>30.000000000000004</v>
      </c>
      <c r="AO16" s="580"/>
      <c r="AP16" s="530"/>
      <c r="AQ16" s="530"/>
      <c r="AR16" s="530"/>
      <c r="AS16" s="530"/>
      <c r="AT16" s="581"/>
      <c r="AU16" s="581"/>
      <c r="AV16" s="577" t="s">
        <v>3236</v>
      </c>
      <c r="AW16" s="578" t="s">
        <v>3215</v>
      </c>
      <c r="AX16" s="583"/>
    </row>
    <row r="17" spans="1:50" s="573" customFormat="1" ht="36" customHeight="1">
      <c r="A17" s="524">
        <v>7</v>
      </c>
      <c r="B17" s="575" t="s">
        <v>108</v>
      </c>
      <c r="C17" s="576" t="s">
        <v>89</v>
      </c>
      <c r="D17" s="525" t="s">
        <v>101</v>
      </c>
      <c r="E17" s="576" t="s">
        <v>75</v>
      </c>
      <c r="F17" s="576" t="s">
        <v>75</v>
      </c>
      <c r="G17" s="576" t="s">
        <v>75</v>
      </c>
      <c r="H17" s="576" t="s">
        <v>75</v>
      </c>
      <c r="I17" s="576" t="s">
        <v>75</v>
      </c>
      <c r="J17" s="576" t="s">
        <v>75</v>
      </c>
      <c r="K17" s="576" t="s">
        <v>75</v>
      </c>
      <c r="L17" s="589"/>
      <c r="M17" s="589"/>
      <c r="N17" s="589"/>
      <c r="O17" s="589"/>
      <c r="P17" s="589"/>
      <c r="Q17" s="589"/>
      <c r="R17" s="576" t="s">
        <v>75</v>
      </c>
      <c r="S17" s="532"/>
      <c r="T17" s="532"/>
      <c r="U17" s="527"/>
      <c r="V17" s="527"/>
      <c r="W17" s="527"/>
      <c r="X17" s="527"/>
      <c r="Y17" s="527"/>
      <c r="Z17" s="527"/>
      <c r="AA17" s="527"/>
      <c r="AB17" s="527"/>
      <c r="AC17" s="527"/>
      <c r="AD17" s="529">
        <v>2.7</v>
      </c>
      <c r="AE17" s="529"/>
      <c r="AF17" s="529">
        <f t="shared" si="0"/>
        <v>0.2669999999999999</v>
      </c>
      <c r="AG17" s="529"/>
      <c r="AH17" s="529"/>
      <c r="AI17" s="579"/>
      <c r="AJ17" s="530"/>
      <c r="AK17" s="530"/>
      <c r="AL17" s="530"/>
      <c r="AM17" s="726">
        <v>2.4330000000000003</v>
      </c>
      <c r="AN17" s="667"/>
      <c r="AO17" s="580"/>
      <c r="AP17" s="530"/>
      <c r="AQ17" s="530"/>
      <c r="AR17" s="530"/>
      <c r="AS17" s="530"/>
      <c r="AT17" s="581"/>
      <c r="AU17" s="581"/>
      <c r="AV17" s="575" t="s">
        <v>3222</v>
      </c>
      <c r="AW17" s="532"/>
      <c r="AX17" s="591"/>
    </row>
    <row r="18" spans="1:50" s="573" customFormat="1" ht="36" customHeight="1">
      <c r="A18" s="524">
        <v>7</v>
      </c>
      <c r="B18" s="575" t="s">
        <v>3440</v>
      </c>
      <c r="C18" s="576" t="s">
        <v>89</v>
      </c>
      <c r="D18" s="577" t="s">
        <v>85</v>
      </c>
      <c r="E18" s="576" t="s">
        <v>75</v>
      </c>
      <c r="F18" s="576" t="s">
        <v>75</v>
      </c>
      <c r="G18" s="576" t="s">
        <v>75</v>
      </c>
      <c r="H18" s="576" t="s">
        <v>75</v>
      </c>
      <c r="I18" s="576" t="s">
        <v>75</v>
      </c>
      <c r="J18" s="576" t="s">
        <v>75</v>
      </c>
      <c r="K18" s="589"/>
      <c r="L18" s="589"/>
      <c r="M18" s="589"/>
      <c r="N18" s="589"/>
      <c r="O18" s="589"/>
      <c r="P18" s="589"/>
      <c r="Q18" s="576" t="s">
        <v>75</v>
      </c>
      <c r="R18" s="576" t="s">
        <v>75</v>
      </c>
      <c r="S18" s="532"/>
      <c r="T18" s="532"/>
      <c r="U18" s="527"/>
      <c r="V18" s="527"/>
      <c r="W18" s="527"/>
      <c r="X18" s="527"/>
      <c r="Y18" s="527"/>
      <c r="Z18" s="527"/>
      <c r="AA18" s="527"/>
      <c r="AB18" s="527"/>
      <c r="AC18" s="527"/>
      <c r="AD18" s="529">
        <f>AE18*7.0795</f>
        <v>407.21284000000003</v>
      </c>
      <c r="AE18" s="529">
        <v>57.52</v>
      </c>
      <c r="AF18" s="529">
        <f t="shared" si="0"/>
        <v>211.21284000000003</v>
      </c>
      <c r="AG18" s="529"/>
      <c r="AH18" s="529"/>
      <c r="AI18" s="579">
        <v>0.15</v>
      </c>
      <c r="AJ18" s="529">
        <f>28*7</f>
        <v>196</v>
      </c>
      <c r="AK18" s="530">
        <v>258</v>
      </c>
      <c r="AL18" s="530"/>
      <c r="AM18" s="726">
        <v>196</v>
      </c>
      <c r="AN18" s="667">
        <v>196</v>
      </c>
      <c r="AO18" s="580"/>
      <c r="AP18" s="530"/>
      <c r="AQ18" s="530"/>
      <c r="AR18" s="530"/>
      <c r="AS18" s="530"/>
      <c r="AT18" s="581"/>
      <c r="AU18" s="581"/>
      <c r="AV18" s="575"/>
      <c r="AW18" s="532"/>
      <c r="AX18" s="591"/>
    </row>
    <row r="19" spans="1:50" s="573" customFormat="1" ht="36" customHeight="1">
      <c r="A19" s="524">
        <v>8</v>
      </c>
      <c r="B19" s="592" t="s">
        <v>3393</v>
      </c>
      <c r="C19" s="586" t="s">
        <v>129</v>
      </c>
      <c r="D19" s="577" t="s">
        <v>85</v>
      </c>
      <c r="E19" s="544" t="s">
        <v>75</v>
      </c>
      <c r="F19" s="544" t="s">
        <v>75</v>
      </c>
      <c r="G19" s="544" t="s">
        <v>75</v>
      </c>
      <c r="H19" s="544" t="s">
        <v>75</v>
      </c>
      <c r="I19" s="544" t="s">
        <v>75</v>
      </c>
      <c r="J19" s="544" t="s">
        <v>75</v>
      </c>
      <c r="K19" s="544"/>
      <c r="L19" s="544"/>
      <c r="M19" s="544"/>
      <c r="N19" s="544"/>
      <c r="O19" s="544"/>
      <c r="P19" s="544"/>
      <c r="Q19" s="544" t="s">
        <v>75</v>
      </c>
      <c r="R19" s="544" t="s">
        <v>75</v>
      </c>
      <c r="S19" s="544"/>
      <c r="T19" s="544"/>
      <c r="U19" s="544"/>
      <c r="V19" s="544"/>
      <c r="W19" s="544"/>
      <c r="X19" s="544"/>
      <c r="Y19" s="544"/>
      <c r="Z19" s="544"/>
      <c r="AA19" s="527"/>
      <c r="AB19" s="527"/>
      <c r="AC19" s="527"/>
      <c r="AD19" s="528">
        <f>AE19*7</f>
        <v>3318</v>
      </c>
      <c r="AE19" s="528">
        <v>474</v>
      </c>
      <c r="AF19" s="529">
        <f t="shared" si="0"/>
        <v>2826</v>
      </c>
      <c r="AG19" s="528">
        <v>35.397500000000001</v>
      </c>
      <c r="AH19" s="528">
        <f>AD19-AG19</f>
        <v>3282.6025</v>
      </c>
      <c r="AI19" s="593">
        <v>0.15</v>
      </c>
      <c r="AJ19" s="528">
        <f>AH19*AI19</f>
        <v>492.39037499999995</v>
      </c>
      <c r="AK19" s="530">
        <v>185</v>
      </c>
      <c r="AL19" s="530">
        <f>AK19*7</f>
        <v>1295</v>
      </c>
      <c r="AM19" s="726">
        <v>492</v>
      </c>
      <c r="AN19" s="667">
        <v>330</v>
      </c>
      <c r="AO19" s="580">
        <f>AM19-AN19</f>
        <v>162</v>
      </c>
      <c r="AP19" s="530">
        <f>AO19/AN19</f>
        <v>0.49090909090909091</v>
      </c>
      <c r="AQ19" s="590">
        <f>AI19-5%</f>
        <v>9.9999999999999992E-2</v>
      </c>
      <c r="AR19" s="587">
        <f>AH19*AQ19</f>
        <v>328.26024999999998</v>
      </c>
      <c r="AS19" s="587">
        <f>AN19-AR19</f>
        <v>1.739750000000015</v>
      </c>
      <c r="AT19" s="588"/>
      <c r="AU19" s="588"/>
      <c r="AV19" s="531"/>
      <c r="AW19" s="532"/>
      <c r="AX19" s="591"/>
    </row>
    <row r="20" spans="1:50" s="573" customFormat="1" ht="36" customHeight="1">
      <c r="A20" s="524">
        <v>9</v>
      </c>
      <c r="B20" s="575" t="s">
        <v>3441</v>
      </c>
      <c r="C20" s="576" t="s">
        <v>89</v>
      </c>
      <c r="D20" s="577" t="s">
        <v>85</v>
      </c>
      <c r="E20" s="576" t="s">
        <v>75</v>
      </c>
      <c r="F20" s="576" t="s">
        <v>75</v>
      </c>
      <c r="G20" s="576" t="s">
        <v>75</v>
      </c>
      <c r="H20" s="576" t="s">
        <v>75</v>
      </c>
      <c r="I20" s="576" t="s">
        <v>75</v>
      </c>
      <c r="J20" s="576" t="s">
        <v>75</v>
      </c>
      <c r="K20" s="526"/>
      <c r="L20" s="526"/>
      <c r="M20" s="526"/>
      <c r="N20" s="526"/>
      <c r="O20" s="526"/>
      <c r="P20" s="526"/>
      <c r="Q20" s="576" t="s">
        <v>75</v>
      </c>
      <c r="R20" s="576" t="s">
        <v>75</v>
      </c>
      <c r="S20" s="532"/>
      <c r="T20" s="532"/>
      <c r="U20" s="527"/>
      <c r="V20" s="527"/>
      <c r="W20" s="527"/>
      <c r="X20" s="527"/>
      <c r="Y20" s="527"/>
      <c r="Z20" s="527"/>
      <c r="AA20" s="527"/>
      <c r="AB20" s="527"/>
      <c r="AC20" s="527"/>
      <c r="AD20" s="528">
        <v>375.93599999999998</v>
      </c>
      <c r="AE20" s="528">
        <v>375</v>
      </c>
      <c r="AF20" s="529">
        <f t="shared" si="0"/>
        <v>319.93599999999998</v>
      </c>
      <c r="AG20" s="528"/>
      <c r="AH20" s="528">
        <v>375.93599999999998</v>
      </c>
      <c r="AI20" s="593">
        <v>0.15</v>
      </c>
      <c r="AJ20" s="530">
        <f>AH20*AI20</f>
        <v>56.390399999999993</v>
      </c>
      <c r="AK20" s="530"/>
      <c r="AL20" s="530"/>
      <c r="AM20" s="726">
        <v>56</v>
      </c>
      <c r="AN20" s="736">
        <v>37</v>
      </c>
      <c r="AO20" s="580"/>
      <c r="AP20" s="530"/>
      <c r="AQ20" s="530">
        <f>AI20-5%</f>
        <v>9.9999999999999992E-2</v>
      </c>
      <c r="AR20" s="530">
        <f>AH20*AQ20</f>
        <v>37.593599999999995</v>
      </c>
      <c r="AS20" s="530">
        <f>AN20-AR20</f>
        <v>-0.59359999999999502</v>
      </c>
      <c r="AT20" s="581"/>
      <c r="AU20" s="581"/>
      <c r="AV20" s="575"/>
      <c r="AW20" s="532"/>
      <c r="AX20" s="591"/>
    </row>
    <row r="21" spans="1:50" s="573" customFormat="1" ht="36" customHeight="1">
      <c r="A21" s="524">
        <v>9</v>
      </c>
      <c r="B21" s="575" t="s">
        <v>125</v>
      </c>
      <c r="C21" s="576" t="s">
        <v>89</v>
      </c>
      <c r="D21" s="525" t="s">
        <v>101</v>
      </c>
      <c r="E21" s="576" t="s">
        <v>75</v>
      </c>
      <c r="F21" s="576" t="s">
        <v>75</v>
      </c>
      <c r="G21" s="576" t="s">
        <v>75</v>
      </c>
      <c r="H21" s="576" t="s">
        <v>75</v>
      </c>
      <c r="I21" s="576" t="s">
        <v>75</v>
      </c>
      <c r="J21" s="576" t="s">
        <v>75</v>
      </c>
      <c r="K21" s="576" t="s">
        <v>75</v>
      </c>
      <c r="L21" s="526"/>
      <c r="M21" s="526"/>
      <c r="N21" s="526"/>
      <c r="O21" s="526"/>
      <c r="P21" s="526"/>
      <c r="Q21" s="526"/>
      <c r="R21" s="576" t="s">
        <v>75</v>
      </c>
      <c r="S21" s="532"/>
      <c r="T21" s="532"/>
      <c r="U21" s="527"/>
      <c r="V21" s="527"/>
      <c r="W21" s="527"/>
      <c r="X21" s="527"/>
      <c r="Y21" s="527"/>
      <c r="Z21" s="527"/>
      <c r="AA21" s="527"/>
      <c r="AB21" s="527"/>
      <c r="AC21" s="527"/>
      <c r="AD21" s="528">
        <v>0.47</v>
      </c>
      <c r="AE21" s="528"/>
      <c r="AF21" s="529">
        <f t="shared" si="0"/>
        <v>6.9999999999999951E-2</v>
      </c>
      <c r="AG21" s="528"/>
      <c r="AH21" s="528"/>
      <c r="AI21" s="593"/>
      <c r="AJ21" s="530">
        <v>0.44</v>
      </c>
      <c r="AK21" s="530"/>
      <c r="AL21" s="530"/>
      <c r="AM21" s="726">
        <v>0.4</v>
      </c>
      <c r="AN21" s="667"/>
      <c r="AO21" s="580"/>
      <c r="AP21" s="530"/>
      <c r="AQ21" s="530"/>
      <c r="AR21" s="530"/>
      <c r="AS21" s="530"/>
      <c r="AT21" s="581"/>
      <c r="AU21" s="581"/>
      <c r="AV21" s="575"/>
      <c r="AW21" s="532"/>
      <c r="AX21" s="591"/>
    </row>
    <row r="22" spans="1:50" s="573" customFormat="1" ht="36" customHeight="1">
      <c r="A22" s="574">
        <v>10</v>
      </c>
      <c r="B22" s="575" t="s">
        <v>3208</v>
      </c>
      <c r="C22" s="576" t="s">
        <v>3205</v>
      </c>
      <c r="D22" s="575" t="s">
        <v>98</v>
      </c>
      <c r="E22" s="594" t="s">
        <v>75</v>
      </c>
      <c r="F22" s="594" t="s">
        <v>75</v>
      </c>
      <c r="G22" s="594" t="s">
        <v>75</v>
      </c>
      <c r="H22" s="594" t="s">
        <v>75</v>
      </c>
      <c r="I22" s="594" t="s">
        <v>75</v>
      </c>
      <c r="J22" s="594" t="s">
        <v>75</v>
      </c>
      <c r="K22" s="594"/>
      <c r="L22" s="594" t="s">
        <v>3209</v>
      </c>
      <c r="M22" s="594"/>
      <c r="N22" s="594"/>
      <c r="O22" s="594"/>
      <c r="P22" s="594"/>
      <c r="Q22" s="594"/>
      <c r="R22" s="594" t="s">
        <v>75</v>
      </c>
      <c r="S22" s="594"/>
      <c r="T22" s="594"/>
      <c r="U22" s="595"/>
      <c r="V22" s="595" t="s">
        <v>3210</v>
      </c>
      <c r="W22" s="595"/>
      <c r="X22" s="595"/>
      <c r="Y22" s="595"/>
      <c r="Z22" s="595"/>
      <c r="AA22" s="527"/>
      <c r="AB22" s="527"/>
      <c r="AC22" s="527"/>
      <c r="AD22" s="530">
        <v>92.5</v>
      </c>
      <c r="AE22" s="530"/>
      <c r="AF22" s="529">
        <f t="shared" si="0"/>
        <v>0.5</v>
      </c>
      <c r="AG22" s="596"/>
      <c r="AH22" s="596"/>
      <c r="AI22" s="597"/>
      <c r="AJ22" s="596">
        <f>AM22</f>
        <v>92</v>
      </c>
      <c r="AK22" s="530"/>
      <c r="AL22" s="530"/>
      <c r="AM22" s="726">
        <v>92</v>
      </c>
      <c r="AN22" s="667">
        <f t="shared" ref="AN22:AN23" si="1">AM22</f>
        <v>92</v>
      </c>
      <c r="AO22" s="580"/>
      <c r="AP22" s="530"/>
      <c r="AQ22" s="530"/>
      <c r="AR22" s="530"/>
      <c r="AS22" s="530"/>
      <c r="AT22" s="581"/>
      <c r="AU22" s="581"/>
      <c r="AV22" s="598"/>
      <c r="AW22" s="594" t="s">
        <v>3216</v>
      </c>
      <c r="AX22" s="591"/>
    </row>
    <row r="23" spans="1:50" s="573" customFormat="1" ht="36" customHeight="1">
      <c r="A23" s="574">
        <v>10</v>
      </c>
      <c r="B23" s="575" t="s">
        <v>3246</v>
      </c>
      <c r="C23" s="576" t="s">
        <v>3205</v>
      </c>
      <c r="D23" s="575" t="s">
        <v>3211</v>
      </c>
      <c r="E23" s="594"/>
      <c r="F23" s="594" t="s">
        <v>75</v>
      </c>
      <c r="G23" s="594" t="s">
        <v>75</v>
      </c>
      <c r="H23" s="594" t="s">
        <v>75</v>
      </c>
      <c r="I23" s="594" t="s">
        <v>75</v>
      </c>
      <c r="J23" s="594" t="s">
        <v>75</v>
      </c>
      <c r="K23" s="594"/>
      <c r="L23" s="594"/>
      <c r="M23" s="594"/>
      <c r="N23" s="594"/>
      <c r="O23" s="594"/>
      <c r="P23" s="594"/>
      <c r="Q23" s="594"/>
      <c r="R23" s="594"/>
      <c r="S23" s="594"/>
      <c r="T23" s="594"/>
      <c r="U23" s="595"/>
      <c r="V23" s="595"/>
      <c r="W23" s="595"/>
      <c r="X23" s="595"/>
      <c r="Y23" s="595"/>
      <c r="Z23" s="595"/>
      <c r="AA23" s="527"/>
      <c r="AB23" s="527"/>
      <c r="AC23" s="527"/>
      <c r="AD23" s="530">
        <v>358</v>
      </c>
      <c r="AE23" s="530"/>
      <c r="AF23" s="529">
        <f t="shared" si="0"/>
        <v>0</v>
      </c>
      <c r="AG23" s="596"/>
      <c r="AH23" s="596"/>
      <c r="AI23" s="545">
        <v>1</v>
      </c>
      <c r="AJ23" s="530">
        <v>358</v>
      </c>
      <c r="AK23" s="530"/>
      <c r="AL23" s="530"/>
      <c r="AM23" s="726">
        <v>358</v>
      </c>
      <c r="AN23" s="667">
        <f t="shared" si="1"/>
        <v>358</v>
      </c>
      <c r="AO23" s="580"/>
      <c r="AP23" s="530"/>
      <c r="AQ23" s="530"/>
      <c r="AR23" s="530"/>
      <c r="AS23" s="530"/>
      <c r="AT23" s="581"/>
      <c r="AU23" s="581"/>
      <c r="AV23" s="599" t="s">
        <v>3345</v>
      </c>
      <c r="AW23" s="594"/>
      <c r="AX23" s="591"/>
    </row>
    <row r="24" spans="1:50" s="573" customFormat="1" ht="36" customHeight="1">
      <c r="A24" s="574">
        <v>11</v>
      </c>
      <c r="B24" s="575" t="s">
        <v>3346</v>
      </c>
      <c r="C24" s="576" t="s">
        <v>73</v>
      </c>
      <c r="D24" s="525" t="s">
        <v>3337</v>
      </c>
      <c r="E24" s="589" t="s">
        <v>75</v>
      </c>
      <c r="F24" s="589" t="s">
        <v>75</v>
      </c>
      <c r="G24" s="589" t="s">
        <v>75</v>
      </c>
      <c r="H24" s="542" t="s">
        <v>3213</v>
      </c>
      <c r="I24" s="589" t="s">
        <v>75</v>
      </c>
      <c r="J24" s="542" t="s">
        <v>76</v>
      </c>
      <c r="K24" s="589" t="s">
        <v>75</v>
      </c>
      <c r="L24" s="589"/>
      <c r="M24" s="589"/>
      <c r="N24" s="589"/>
      <c r="O24" s="589"/>
      <c r="P24" s="589"/>
      <c r="Q24" s="589"/>
      <c r="R24" s="589" t="s">
        <v>75</v>
      </c>
      <c r="S24" s="589"/>
      <c r="T24" s="589"/>
      <c r="U24" s="544" t="s">
        <v>77</v>
      </c>
      <c r="V24" s="600"/>
      <c r="W24" s="600"/>
      <c r="X24" s="600"/>
      <c r="Y24" s="600"/>
      <c r="Z24" s="600"/>
      <c r="AA24" s="527"/>
      <c r="AB24" s="527"/>
      <c r="AC24" s="527"/>
      <c r="AD24" s="530">
        <v>8</v>
      </c>
      <c r="AE24" s="530"/>
      <c r="AF24" s="529">
        <f t="shared" si="0"/>
        <v>0.5</v>
      </c>
      <c r="AG24" s="529"/>
      <c r="AH24" s="529"/>
      <c r="AI24" s="579"/>
      <c r="AJ24" s="529">
        <v>7.5</v>
      </c>
      <c r="AK24" s="530"/>
      <c r="AL24" s="530"/>
      <c r="AM24" s="726">
        <v>7.5</v>
      </c>
      <c r="AN24" s="667"/>
      <c r="AO24" s="580"/>
      <c r="AP24" s="530"/>
      <c r="AQ24" s="530"/>
      <c r="AR24" s="530"/>
      <c r="AS24" s="530"/>
      <c r="AT24" s="581"/>
      <c r="AU24" s="581"/>
      <c r="AV24" s="525" t="s">
        <v>3219</v>
      </c>
      <c r="AW24" s="526" t="s">
        <v>3220</v>
      </c>
      <c r="AX24" s="591"/>
    </row>
    <row r="25" spans="1:50" s="573" customFormat="1" ht="36" customHeight="1">
      <c r="A25" s="574">
        <v>11</v>
      </c>
      <c r="B25" s="575" t="s">
        <v>3513</v>
      </c>
      <c r="C25" s="576" t="s">
        <v>73</v>
      </c>
      <c r="D25" s="577" t="s">
        <v>85</v>
      </c>
      <c r="E25" s="589" t="s">
        <v>75</v>
      </c>
      <c r="F25" s="589" t="s">
        <v>75</v>
      </c>
      <c r="G25" s="589" t="s">
        <v>75</v>
      </c>
      <c r="H25" s="542" t="s">
        <v>3213</v>
      </c>
      <c r="I25" s="589" t="s">
        <v>75</v>
      </c>
      <c r="J25" s="542" t="s">
        <v>76</v>
      </c>
      <c r="K25" s="589"/>
      <c r="L25" s="589"/>
      <c r="M25" s="589"/>
      <c r="N25" s="589"/>
      <c r="O25" s="589"/>
      <c r="P25" s="589"/>
      <c r="Q25" s="589" t="s">
        <v>75</v>
      </c>
      <c r="R25" s="589" t="s">
        <v>75</v>
      </c>
      <c r="S25" s="589"/>
      <c r="T25" s="589"/>
      <c r="U25" s="600"/>
      <c r="V25" s="600"/>
      <c r="W25" s="600"/>
      <c r="X25" s="600"/>
      <c r="Y25" s="600"/>
      <c r="Z25" s="600"/>
      <c r="AA25" s="527"/>
      <c r="AB25" s="527"/>
      <c r="AC25" s="527"/>
      <c r="AD25" s="530">
        <f>AE25*7</f>
        <v>2814</v>
      </c>
      <c r="AE25" s="530">
        <v>402</v>
      </c>
      <c r="AF25" s="529">
        <f t="shared" si="0"/>
        <v>2392</v>
      </c>
      <c r="AG25" s="529"/>
      <c r="AH25" s="529">
        <v>2814</v>
      </c>
      <c r="AI25" s="579">
        <v>0.15</v>
      </c>
      <c r="AJ25" s="529">
        <f>AH25*AI25</f>
        <v>422.09999999999997</v>
      </c>
      <c r="AK25" s="530">
        <v>1124</v>
      </c>
      <c r="AL25" s="530"/>
      <c r="AM25" s="726">
        <v>422</v>
      </c>
      <c r="AN25" s="667">
        <v>281.40000000000003</v>
      </c>
      <c r="AO25" s="580"/>
      <c r="AP25" s="530"/>
      <c r="AQ25" s="530">
        <v>0.1</v>
      </c>
      <c r="AR25" s="530">
        <f t="shared" ref="AR25:AR31" si="2">AH25*AQ25</f>
        <v>281.40000000000003</v>
      </c>
      <c r="AS25" s="530">
        <f t="shared" ref="AS25:AS30" si="3">AN25-AR25</f>
        <v>0</v>
      </c>
      <c r="AT25" s="581"/>
      <c r="AU25" s="581"/>
      <c r="AV25" s="525"/>
      <c r="AW25" s="526" t="s">
        <v>3220</v>
      </c>
      <c r="AX25" s="591"/>
    </row>
    <row r="26" spans="1:50" s="602" customFormat="1" ht="36" customHeight="1">
      <c r="A26" s="524">
        <v>12</v>
      </c>
      <c r="B26" s="575" t="s">
        <v>3378</v>
      </c>
      <c r="C26" s="576" t="s">
        <v>3347</v>
      </c>
      <c r="D26" s="577" t="s">
        <v>85</v>
      </c>
      <c r="E26" s="576" t="s">
        <v>75</v>
      </c>
      <c r="F26" s="576" t="s">
        <v>75</v>
      </c>
      <c r="G26" s="576" t="s">
        <v>75</v>
      </c>
      <c r="H26" s="576" t="s">
        <v>75</v>
      </c>
      <c r="I26" s="576" t="s">
        <v>75</v>
      </c>
      <c r="J26" s="576" t="s">
        <v>75</v>
      </c>
      <c r="K26" s="576"/>
      <c r="L26" s="576"/>
      <c r="M26" s="576"/>
      <c r="N26" s="576"/>
      <c r="O26" s="576"/>
      <c r="P26" s="532"/>
      <c r="Q26" s="532"/>
      <c r="R26" s="532"/>
      <c r="S26" s="532"/>
      <c r="T26" s="532"/>
      <c r="U26" s="527"/>
      <c r="V26" s="527"/>
      <c r="W26" s="527"/>
      <c r="X26" s="527"/>
      <c r="Y26" s="527"/>
      <c r="Z26" s="527"/>
      <c r="AA26" s="527"/>
      <c r="AB26" s="527"/>
      <c r="AC26" s="527"/>
      <c r="AD26" s="529">
        <v>703</v>
      </c>
      <c r="AE26" s="529"/>
      <c r="AF26" s="529">
        <f t="shared" si="0"/>
        <v>0</v>
      </c>
      <c r="AG26" s="530"/>
      <c r="AH26" s="529">
        <f>AN26</f>
        <v>703</v>
      </c>
      <c r="AI26" s="545">
        <v>1</v>
      </c>
      <c r="AJ26" s="529">
        <v>703</v>
      </c>
      <c r="AK26" s="530">
        <v>150</v>
      </c>
      <c r="AL26" s="530">
        <f t="shared" ref="AL26:AL31" si="4">AK26*7</f>
        <v>1050</v>
      </c>
      <c r="AM26" s="726">
        <v>703</v>
      </c>
      <c r="AN26" s="667">
        <f>AM26</f>
        <v>703</v>
      </c>
      <c r="AO26" s="580">
        <f>AM26-AN26</f>
        <v>0</v>
      </c>
      <c r="AP26" s="530">
        <f>AO26/AN26</f>
        <v>0</v>
      </c>
      <c r="AQ26" s="590">
        <v>1</v>
      </c>
      <c r="AR26" s="587">
        <f t="shared" si="2"/>
        <v>703</v>
      </c>
      <c r="AS26" s="587">
        <f t="shared" si="3"/>
        <v>0</v>
      </c>
      <c r="AT26" s="588"/>
      <c r="AU26" s="588"/>
      <c r="AV26" s="525" t="s">
        <v>3237</v>
      </c>
      <c r="AW26" s="532"/>
      <c r="AX26" s="601"/>
    </row>
    <row r="27" spans="1:50" ht="36" customHeight="1">
      <c r="A27" s="524">
        <v>13</v>
      </c>
      <c r="B27" s="575" t="s">
        <v>3442</v>
      </c>
      <c r="C27" s="576" t="s">
        <v>89</v>
      </c>
      <c r="D27" s="577" t="s">
        <v>85</v>
      </c>
      <c r="E27" s="576" t="s">
        <v>75</v>
      </c>
      <c r="F27" s="576" t="s">
        <v>75</v>
      </c>
      <c r="G27" s="576" t="s">
        <v>75</v>
      </c>
      <c r="H27" s="576" t="s">
        <v>75</v>
      </c>
      <c r="I27" s="576" t="s">
        <v>75</v>
      </c>
      <c r="J27" s="576" t="s">
        <v>75</v>
      </c>
      <c r="K27" s="576"/>
      <c r="L27" s="589"/>
      <c r="M27" s="589"/>
      <c r="N27" s="589"/>
      <c r="O27" s="589"/>
      <c r="P27" s="589"/>
      <c r="Q27" s="576" t="s">
        <v>75</v>
      </c>
      <c r="R27" s="576" t="s">
        <v>75</v>
      </c>
      <c r="S27" s="532"/>
      <c r="T27" s="532"/>
      <c r="U27" s="527"/>
      <c r="V27" s="527"/>
      <c r="W27" s="527"/>
      <c r="X27" s="527"/>
      <c r="Y27" s="527"/>
      <c r="Z27" s="527"/>
      <c r="AA27" s="527"/>
      <c r="AB27" s="527"/>
      <c r="AC27" s="527"/>
      <c r="AD27" s="529">
        <f>AE27*7</f>
        <v>784</v>
      </c>
      <c r="AE27" s="529">
        <v>112</v>
      </c>
      <c r="AF27" s="529">
        <f t="shared" si="0"/>
        <v>645</v>
      </c>
      <c r="AG27" s="529"/>
      <c r="AH27" s="529">
        <v>695</v>
      </c>
      <c r="AI27" s="545">
        <v>0.2</v>
      </c>
      <c r="AJ27" s="530">
        <f>AH27*AI27</f>
        <v>139</v>
      </c>
      <c r="AK27" s="530">
        <v>131</v>
      </c>
      <c r="AL27" s="530">
        <f t="shared" si="4"/>
        <v>917</v>
      </c>
      <c r="AM27" s="726">
        <f>AJ27</f>
        <v>139</v>
      </c>
      <c r="AN27" s="736">
        <v>104.25</v>
      </c>
      <c r="AO27" s="580"/>
      <c r="AP27" s="530"/>
      <c r="AQ27" s="530">
        <f>AI27-5%</f>
        <v>0.15000000000000002</v>
      </c>
      <c r="AR27" s="530">
        <f t="shared" si="2"/>
        <v>104.25000000000001</v>
      </c>
      <c r="AS27" s="530">
        <f t="shared" si="3"/>
        <v>0</v>
      </c>
      <c r="AT27" s="581"/>
      <c r="AU27" s="581"/>
      <c r="AV27" s="575"/>
      <c r="AW27" s="532"/>
    </row>
    <row r="28" spans="1:50" ht="36" customHeight="1">
      <c r="A28" s="574">
        <v>14</v>
      </c>
      <c r="B28" s="531" t="s">
        <v>3397</v>
      </c>
      <c r="C28" s="603" t="s">
        <v>3130</v>
      </c>
      <c r="D28" s="577" t="s">
        <v>85</v>
      </c>
      <c r="E28" s="532" t="s">
        <v>75</v>
      </c>
      <c r="F28" s="532" t="s">
        <v>75</v>
      </c>
      <c r="G28" s="532" t="s">
        <v>75</v>
      </c>
      <c r="H28" s="532" t="s">
        <v>75</v>
      </c>
      <c r="I28" s="532" t="s">
        <v>75</v>
      </c>
      <c r="J28" s="532" t="s">
        <v>75</v>
      </c>
      <c r="K28" s="532"/>
      <c r="L28" s="532"/>
      <c r="M28" s="532"/>
      <c r="N28" s="532"/>
      <c r="O28" s="532"/>
      <c r="P28" s="532"/>
      <c r="Q28" s="532"/>
      <c r="R28" s="532"/>
      <c r="S28" s="532"/>
      <c r="T28" s="532"/>
      <c r="U28" s="527"/>
      <c r="V28" s="527"/>
      <c r="W28" s="527"/>
      <c r="X28" s="527"/>
      <c r="Y28" s="527"/>
      <c r="Z28" s="527"/>
      <c r="AA28" s="527"/>
      <c r="AB28" s="527"/>
      <c r="AC28" s="527"/>
      <c r="AD28" s="530">
        <f>AE28*7</f>
        <v>5313</v>
      </c>
      <c r="AE28" s="530">
        <v>759</v>
      </c>
      <c r="AF28" s="529">
        <f t="shared" si="0"/>
        <v>4517</v>
      </c>
      <c r="AG28" s="530"/>
      <c r="AH28" s="530">
        <v>5313</v>
      </c>
      <c r="AI28" s="545">
        <v>0.15</v>
      </c>
      <c r="AJ28" s="530">
        <f>AH28*AI28</f>
        <v>796.94999999999993</v>
      </c>
      <c r="AK28" s="530">
        <v>678</v>
      </c>
      <c r="AL28" s="530">
        <f t="shared" si="4"/>
        <v>4746</v>
      </c>
      <c r="AM28" s="726">
        <v>796</v>
      </c>
      <c r="AN28" s="667">
        <v>531</v>
      </c>
      <c r="AO28" s="580">
        <f>AM28-AN28</f>
        <v>265</v>
      </c>
      <c r="AP28" s="530">
        <f>AO28/AN28</f>
        <v>0.49905838041431261</v>
      </c>
      <c r="AQ28" s="590">
        <f>AI28-5%</f>
        <v>9.9999999999999992E-2</v>
      </c>
      <c r="AR28" s="587">
        <f t="shared" si="2"/>
        <v>531.29999999999995</v>
      </c>
      <c r="AS28" s="587">
        <f t="shared" si="3"/>
        <v>-0.29999999999995453</v>
      </c>
      <c r="AT28" s="588"/>
      <c r="AU28" s="588"/>
      <c r="AV28" s="604"/>
      <c r="AW28" s="532" t="s">
        <v>3331</v>
      </c>
    </row>
    <row r="29" spans="1:50" ht="36" customHeight="1">
      <c r="A29" s="524">
        <v>15</v>
      </c>
      <c r="B29" s="575" t="s">
        <v>3419</v>
      </c>
      <c r="C29" s="576" t="s">
        <v>134</v>
      </c>
      <c r="D29" s="577" t="s">
        <v>85</v>
      </c>
      <c r="E29" s="576" t="s">
        <v>75</v>
      </c>
      <c r="F29" s="576" t="s">
        <v>3183</v>
      </c>
      <c r="G29" s="576" t="s">
        <v>75</v>
      </c>
      <c r="H29" s="576" t="s">
        <v>75</v>
      </c>
      <c r="I29" s="576" t="s">
        <v>75</v>
      </c>
      <c r="J29" s="576" t="s">
        <v>75</v>
      </c>
      <c r="K29" s="576"/>
      <c r="L29" s="576"/>
      <c r="M29" s="576"/>
      <c r="N29" s="576"/>
      <c r="O29" s="576"/>
      <c r="P29" s="532"/>
      <c r="Q29" s="532"/>
      <c r="R29" s="532"/>
      <c r="S29" s="532"/>
      <c r="T29" s="532"/>
      <c r="U29" s="527"/>
      <c r="V29" s="527"/>
      <c r="W29" s="527"/>
      <c r="X29" s="527"/>
      <c r="Y29" s="527"/>
      <c r="Z29" s="527"/>
      <c r="AA29" s="527"/>
      <c r="AB29" s="527"/>
      <c r="AC29" s="527"/>
      <c r="AD29" s="529">
        <v>5895</v>
      </c>
      <c r="AE29" s="529"/>
      <c r="AF29" s="529">
        <f t="shared" si="0"/>
        <v>4754</v>
      </c>
      <c r="AG29" s="530"/>
      <c r="AH29" s="529">
        <v>5895</v>
      </c>
      <c r="AI29" s="579">
        <v>0.2</v>
      </c>
      <c r="AJ29" s="530">
        <f>AH29*AI29</f>
        <v>1179</v>
      </c>
      <c r="AK29" s="530">
        <v>163</v>
      </c>
      <c r="AL29" s="678">
        <f t="shared" si="4"/>
        <v>1141</v>
      </c>
      <c r="AM29" s="726">
        <f>AL29</f>
        <v>1141</v>
      </c>
      <c r="AN29" s="667">
        <v>884</v>
      </c>
      <c r="AO29" s="580"/>
      <c r="AP29" s="530"/>
      <c r="AQ29" s="530">
        <f>AI29-5%</f>
        <v>0.15000000000000002</v>
      </c>
      <c r="AR29" s="530">
        <f t="shared" si="2"/>
        <v>884.25000000000011</v>
      </c>
      <c r="AS29" s="530">
        <f t="shared" si="3"/>
        <v>-0.25000000000011369</v>
      </c>
      <c r="AT29" s="581"/>
      <c r="AU29" s="581"/>
      <c r="AV29" s="525" t="s">
        <v>3238</v>
      </c>
      <c r="AW29" s="532"/>
    </row>
    <row r="30" spans="1:50" ht="36" customHeight="1">
      <c r="A30" s="524">
        <v>16</v>
      </c>
      <c r="B30" s="575" t="s">
        <v>3420</v>
      </c>
      <c r="C30" s="576" t="s">
        <v>134</v>
      </c>
      <c r="D30" s="577" t="s">
        <v>85</v>
      </c>
      <c r="E30" s="576" t="s">
        <v>75</v>
      </c>
      <c r="F30" s="576" t="s">
        <v>3185</v>
      </c>
      <c r="G30" s="576" t="s">
        <v>75</v>
      </c>
      <c r="H30" s="576" t="s">
        <v>75</v>
      </c>
      <c r="I30" s="576" t="s">
        <v>75</v>
      </c>
      <c r="J30" s="576" t="s">
        <v>75</v>
      </c>
      <c r="K30" s="576"/>
      <c r="L30" s="576"/>
      <c r="M30" s="576"/>
      <c r="N30" s="576"/>
      <c r="O30" s="576"/>
      <c r="P30" s="532"/>
      <c r="Q30" s="532"/>
      <c r="R30" s="532"/>
      <c r="S30" s="532"/>
      <c r="T30" s="532"/>
      <c r="U30" s="527"/>
      <c r="V30" s="527"/>
      <c r="W30" s="527"/>
      <c r="X30" s="527"/>
      <c r="Y30" s="527"/>
      <c r="Z30" s="527"/>
      <c r="AA30" s="527"/>
      <c r="AB30" s="527"/>
      <c r="AC30" s="527"/>
      <c r="AD30" s="529">
        <v>1176</v>
      </c>
      <c r="AE30" s="529"/>
      <c r="AF30" s="529">
        <f t="shared" si="0"/>
        <v>70</v>
      </c>
      <c r="AG30" s="530"/>
      <c r="AH30" s="529">
        <v>1106</v>
      </c>
      <c r="AI30" s="579">
        <v>1</v>
      </c>
      <c r="AJ30" s="529">
        <v>1106</v>
      </c>
      <c r="AK30" s="530">
        <v>168</v>
      </c>
      <c r="AL30" s="678">
        <f t="shared" si="4"/>
        <v>1176</v>
      </c>
      <c r="AM30" s="726">
        <v>1106</v>
      </c>
      <c r="AN30" s="667">
        <v>889</v>
      </c>
      <c r="AO30" s="580"/>
      <c r="AP30" s="530"/>
      <c r="AQ30" s="530">
        <v>1</v>
      </c>
      <c r="AR30" s="530">
        <f t="shared" si="2"/>
        <v>1106</v>
      </c>
      <c r="AS30" s="530">
        <f t="shared" si="3"/>
        <v>-217</v>
      </c>
      <c r="AT30" s="581">
        <f>AN30/7</f>
        <v>127</v>
      </c>
      <c r="AU30" s="581"/>
      <c r="AV30" s="585" t="s">
        <v>3198</v>
      </c>
      <c r="AW30" s="532"/>
    </row>
    <row r="31" spans="1:50" ht="36" customHeight="1">
      <c r="A31" s="524">
        <v>17</v>
      </c>
      <c r="B31" s="525" t="s">
        <v>3385</v>
      </c>
      <c r="C31" s="526" t="s">
        <v>129</v>
      </c>
      <c r="D31" s="577" t="s">
        <v>85</v>
      </c>
      <c r="E31" s="576" t="s">
        <v>75</v>
      </c>
      <c r="F31" s="576" t="s">
        <v>75</v>
      </c>
      <c r="G31" s="576" t="s">
        <v>75</v>
      </c>
      <c r="H31" s="576" t="s">
        <v>75</v>
      </c>
      <c r="I31" s="576" t="s">
        <v>75</v>
      </c>
      <c r="J31" s="576" t="s">
        <v>75</v>
      </c>
      <c r="K31" s="589"/>
      <c r="L31" s="589"/>
      <c r="M31" s="589"/>
      <c r="N31" s="526"/>
      <c r="O31" s="526"/>
      <c r="P31" s="526"/>
      <c r="Q31" s="526" t="s">
        <v>75</v>
      </c>
      <c r="R31" s="526" t="s">
        <v>75</v>
      </c>
      <c r="S31" s="526"/>
      <c r="T31" s="526"/>
      <c r="U31" s="586"/>
      <c r="V31" s="586"/>
      <c r="W31" s="586"/>
      <c r="X31" s="586"/>
      <c r="Y31" s="586"/>
      <c r="Z31" s="586"/>
      <c r="AA31" s="586">
        <v>30749</v>
      </c>
      <c r="AB31" s="586"/>
      <c r="AC31" s="586">
        <f>AA31*0.0659</f>
        <v>2026.3590999999999</v>
      </c>
      <c r="AD31" s="528">
        <v>2032</v>
      </c>
      <c r="AE31" s="528"/>
      <c r="AF31" s="529">
        <f t="shared" si="0"/>
        <v>170</v>
      </c>
      <c r="AG31" s="528"/>
      <c r="AH31" s="528">
        <v>2026.3590999999999</v>
      </c>
      <c r="AI31" s="579">
        <v>1</v>
      </c>
      <c r="AJ31" s="528"/>
      <c r="AK31" s="528">
        <v>266</v>
      </c>
      <c r="AL31" s="530">
        <f t="shared" si="4"/>
        <v>1862</v>
      </c>
      <c r="AM31" s="727">
        <f>AL31</f>
        <v>1862</v>
      </c>
      <c r="AN31" s="668">
        <f>AM31</f>
        <v>1862</v>
      </c>
      <c r="AO31" s="580">
        <f>AM31-AN31</f>
        <v>0</v>
      </c>
      <c r="AP31" s="530">
        <f>AO31/AN31</f>
        <v>0</v>
      </c>
      <c r="AQ31" s="590">
        <v>1</v>
      </c>
      <c r="AR31" s="587">
        <f t="shared" si="2"/>
        <v>2026.3590999999999</v>
      </c>
      <c r="AS31" s="674" t="s">
        <v>3467</v>
      </c>
      <c r="AT31" s="588"/>
      <c r="AU31" s="588"/>
      <c r="AV31" s="525"/>
      <c r="AW31" s="526" t="s">
        <v>130</v>
      </c>
    </row>
    <row r="32" spans="1:50" ht="36" customHeight="1">
      <c r="A32" s="574">
        <v>18</v>
      </c>
      <c r="B32" s="575" t="s">
        <v>3253</v>
      </c>
      <c r="C32" s="576" t="s">
        <v>89</v>
      </c>
      <c r="D32" s="575" t="s">
        <v>101</v>
      </c>
      <c r="E32" s="589" t="s">
        <v>75</v>
      </c>
      <c r="F32" s="589" t="s">
        <v>3254</v>
      </c>
      <c r="G32" s="589" t="s">
        <v>75</v>
      </c>
      <c r="H32" s="589" t="s">
        <v>75</v>
      </c>
      <c r="I32" s="589" t="s">
        <v>75</v>
      </c>
      <c r="J32" s="589" t="s">
        <v>3255</v>
      </c>
      <c r="K32" s="589" t="s">
        <v>75</v>
      </c>
      <c r="L32" s="589"/>
      <c r="M32" s="589"/>
      <c r="N32" s="589"/>
      <c r="O32" s="589"/>
      <c r="P32" s="589"/>
      <c r="Q32" s="589"/>
      <c r="R32" s="589" t="s">
        <v>75</v>
      </c>
      <c r="S32" s="589"/>
      <c r="T32" s="589"/>
      <c r="U32" s="527"/>
      <c r="V32" s="527"/>
      <c r="W32" s="527"/>
      <c r="X32" s="527"/>
      <c r="Y32" s="527"/>
      <c r="Z32" s="527"/>
      <c r="AA32" s="527"/>
      <c r="AB32" s="527"/>
      <c r="AC32" s="527"/>
      <c r="AD32" s="529">
        <v>1.2</v>
      </c>
      <c r="AE32" s="529"/>
      <c r="AF32" s="529">
        <f t="shared" si="0"/>
        <v>9.9999999999999867E-2</v>
      </c>
      <c r="AG32" s="529"/>
      <c r="AH32" s="530"/>
      <c r="AI32" s="545"/>
      <c r="AJ32" s="529">
        <v>1.1000000000000001</v>
      </c>
      <c r="AK32" s="530"/>
      <c r="AL32" s="530"/>
      <c r="AM32" s="726">
        <v>1.1000000000000001</v>
      </c>
      <c r="AN32" s="667"/>
      <c r="AO32" s="580"/>
      <c r="AP32" s="530"/>
      <c r="AQ32" s="530"/>
      <c r="AR32" s="530"/>
      <c r="AS32" s="530"/>
      <c r="AT32" s="581"/>
      <c r="AU32" s="581"/>
      <c r="AV32" s="525" t="s">
        <v>3256</v>
      </c>
      <c r="AW32" s="589" t="s">
        <v>3252</v>
      </c>
    </row>
    <row r="33" spans="1:49" s="520" customFormat="1" ht="36" customHeight="1">
      <c r="A33" s="574">
        <v>18</v>
      </c>
      <c r="B33" s="575" t="s">
        <v>3443</v>
      </c>
      <c r="C33" s="576" t="s">
        <v>89</v>
      </c>
      <c r="D33" s="577" t="s">
        <v>85</v>
      </c>
      <c r="E33" s="589" t="s">
        <v>75</v>
      </c>
      <c r="F33" s="589" t="s">
        <v>3254</v>
      </c>
      <c r="G33" s="589" t="s">
        <v>75</v>
      </c>
      <c r="H33" s="589" t="s">
        <v>75</v>
      </c>
      <c r="I33" s="589" t="s">
        <v>75</v>
      </c>
      <c r="J33" s="589" t="s">
        <v>75</v>
      </c>
      <c r="K33" s="589"/>
      <c r="L33" s="589"/>
      <c r="M33" s="589"/>
      <c r="N33" s="589"/>
      <c r="O33" s="589"/>
      <c r="P33" s="589"/>
      <c r="Q33" s="589" t="s">
        <v>75</v>
      </c>
      <c r="R33" s="589" t="s">
        <v>75</v>
      </c>
      <c r="S33" s="589"/>
      <c r="T33" s="589"/>
      <c r="U33" s="527"/>
      <c r="V33" s="527"/>
      <c r="W33" s="527"/>
      <c r="X33" s="527"/>
      <c r="Y33" s="527"/>
      <c r="Z33" s="527"/>
      <c r="AA33" s="527"/>
      <c r="AB33" s="527"/>
      <c r="AC33" s="527"/>
      <c r="AD33" s="529">
        <v>854</v>
      </c>
      <c r="AE33" s="529">
        <v>122</v>
      </c>
      <c r="AF33" s="529">
        <f t="shared" si="0"/>
        <v>672</v>
      </c>
      <c r="AG33" s="529"/>
      <c r="AH33" s="518">
        <v>1820</v>
      </c>
      <c r="AI33" s="521">
        <v>0.1</v>
      </c>
      <c r="AJ33" s="519">
        <v>182</v>
      </c>
      <c r="AK33" s="518">
        <v>126</v>
      </c>
      <c r="AL33" s="518">
        <f>AK33*7</f>
        <v>882</v>
      </c>
      <c r="AM33" s="726">
        <v>182</v>
      </c>
      <c r="AN33" s="736">
        <v>91</v>
      </c>
      <c r="AO33" s="580"/>
      <c r="AP33" s="530"/>
      <c r="AQ33" s="518">
        <f>AI33-5%</f>
        <v>0.05</v>
      </c>
      <c r="AR33" s="518">
        <f>AH33*AQ33</f>
        <v>91</v>
      </c>
      <c r="AS33" s="518">
        <f>AN33-AR33</f>
        <v>0</v>
      </c>
      <c r="AT33" s="555"/>
      <c r="AU33" s="555"/>
      <c r="AV33" s="523"/>
      <c r="AW33" s="655" t="s">
        <v>3252</v>
      </c>
    </row>
    <row r="34" spans="1:49" ht="36" customHeight="1">
      <c r="A34" s="574">
        <v>19</v>
      </c>
      <c r="B34" s="585" t="s">
        <v>3348</v>
      </c>
      <c r="C34" s="582" t="s">
        <v>3327</v>
      </c>
      <c r="D34" s="585" t="s">
        <v>101</v>
      </c>
      <c r="E34" s="582" t="s">
        <v>75</v>
      </c>
      <c r="F34" s="582" t="s">
        <v>75</v>
      </c>
      <c r="G34" s="582" t="s">
        <v>75</v>
      </c>
      <c r="H34" s="582" t="s">
        <v>75</v>
      </c>
      <c r="I34" s="582" t="s">
        <v>75</v>
      </c>
      <c r="J34" s="582" t="s">
        <v>75</v>
      </c>
      <c r="K34" s="582" t="s">
        <v>75</v>
      </c>
      <c r="L34" s="582"/>
      <c r="M34" s="582"/>
      <c r="N34" s="582"/>
      <c r="O34" s="582"/>
      <c r="P34" s="582"/>
      <c r="Q34" s="582"/>
      <c r="R34" s="576" t="s">
        <v>75</v>
      </c>
      <c r="S34" s="576"/>
      <c r="T34" s="532"/>
      <c r="U34" s="527"/>
      <c r="V34" s="527"/>
      <c r="W34" s="527"/>
      <c r="X34" s="527"/>
      <c r="Y34" s="527"/>
      <c r="Z34" s="527"/>
      <c r="AA34" s="527"/>
      <c r="AB34" s="527"/>
      <c r="AC34" s="527"/>
      <c r="AD34" s="530">
        <v>1.67</v>
      </c>
      <c r="AE34" s="530"/>
      <c r="AF34" s="529">
        <f t="shared" si="0"/>
        <v>0.16999999999999993</v>
      </c>
      <c r="AG34" s="530"/>
      <c r="AH34" s="530"/>
      <c r="AI34" s="545"/>
      <c r="AJ34" s="530"/>
      <c r="AK34" s="530"/>
      <c r="AL34" s="530"/>
      <c r="AM34" s="726">
        <v>1.5</v>
      </c>
      <c r="AN34" s="667"/>
      <c r="AO34" s="580"/>
      <c r="AP34" s="530"/>
      <c r="AQ34" s="530"/>
      <c r="AR34" s="530"/>
      <c r="AS34" s="530"/>
      <c r="AT34" s="581"/>
      <c r="AU34" s="581"/>
      <c r="AV34" s="531" t="s">
        <v>3131</v>
      </c>
      <c r="AW34" s="532"/>
    </row>
    <row r="35" spans="1:49" ht="36" customHeight="1">
      <c r="A35" s="574">
        <v>19</v>
      </c>
      <c r="B35" s="585" t="s">
        <v>3123</v>
      </c>
      <c r="C35" s="582" t="s">
        <v>3124</v>
      </c>
      <c r="D35" s="577" t="s">
        <v>85</v>
      </c>
      <c r="E35" s="582" t="s">
        <v>75</v>
      </c>
      <c r="F35" s="582" t="s">
        <v>75</v>
      </c>
      <c r="G35" s="582" t="s">
        <v>75</v>
      </c>
      <c r="H35" s="582" t="s">
        <v>75</v>
      </c>
      <c r="I35" s="582" t="s">
        <v>75</v>
      </c>
      <c r="J35" s="582" t="s">
        <v>75</v>
      </c>
      <c r="K35" s="582"/>
      <c r="L35" s="582"/>
      <c r="M35" s="582"/>
      <c r="N35" s="582"/>
      <c r="O35" s="582"/>
      <c r="P35" s="582"/>
      <c r="Q35" s="582"/>
      <c r="R35" s="576" t="s">
        <v>75</v>
      </c>
      <c r="S35" s="582"/>
      <c r="T35" s="532"/>
      <c r="U35" s="527"/>
      <c r="V35" s="527"/>
      <c r="W35" s="527"/>
      <c r="X35" s="527"/>
      <c r="Y35" s="527"/>
      <c r="Z35" s="527"/>
      <c r="AA35" s="527"/>
      <c r="AB35" s="527"/>
      <c r="AC35" s="527"/>
      <c r="AD35" s="530">
        <v>1027</v>
      </c>
      <c r="AE35" s="530"/>
      <c r="AF35" s="529">
        <f t="shared" si="0"/>
        <v>1027</v>
      </c>
      <c r="AG35" s="530"/>
      <c r="AH35" s="530"/>
      <c r="AI35" s="545">
        <v>0.15</v>
      </c>
      <c r="AJ35" s="530">
        <f>AH35*AI35</f>
        <v>0</v>
      </c>
      <c r="AK35" s="530">
        <v>149</v>
      </c>
      <c r="AL35" s="678">
        <f>AK35*7</f>
        <v>1043</v>
      </c>
      <c r="AM35" s="726"/>
      <c r="AN35" s="667"/>
      <c r="AO35" s="580"/>
      <c r="AP35" s="530"/>
      <c r="AQ35" s="530">
        <f>AI35-5%</f>
        <v>9.9999999999999992E-2</v>
      </c>
      <c r="AR35" s="530">
        <f>AH35*AQ35</f>
        <v>0</v>
      </c>
      <c r="AS35" s="491"/>
      <c r="AT35" s="581"/>
      <c r="AU35" s="581"/>
      <c r="AV35" s="531" t="s">
        <v>3464</v>
      </c>
      <c r="AW35" s="532"/>
    </row>
    <row r="36" spans="1:49" ht="36" customHeight="1">
      <c r="A36" s="524">
        <v>20</v>
      </c>
      <c r="B36" s="525" t="s">
        <v>3398</v>
      </c>
      <c r="C36" s="526" t="s">
        <v>129</v>
      </c>
      <c r="D36" s="577" t="s">
        <v>85</v>
      </c>
      <c r="E36" s="576" t="s">
        <v>75</v>
      </c>
      <c r="F36" s="576" t="s">
        <v>75</v>
      </c>
      <c r="G36" s="576" t="s">
        <v>75</v>
      </c>
      <c r="H36" s="576" t="s">
        <v>75</v>
      </c>
      <c r="I36" s="576" t="s">
        <v>75</v>
      </c>
      <c r="J36" s="576" t="s">
        <v>75</v>
      </c>
      <c r="K36" s="526"/>
      <c r="L36" s="526"/>
      <c r="M36" s="526"/>
      <c r="N36" s="526"/>
      <c r="O36" s="526"/>
      <c r="P36" s="526"/>
      <c r="Q36" s="526" t="s">
        <v>75</v>
      </c>
      <c r="R36" s="526" t="s">
        <v>75</v>
      </c>
      <c r="S36" s="526"/>
      <c r="T36" s="526"/>
      <c r="U36" s="586"/>
      <c r="V36" s="586"/>
      <c r="W36" s="586"/>
      <c r="X36" s="586"/>
      <c r="Y36" s="586"/>
      <c r="Z36" s="586"/>
      <c r="AA36" s="586"/>
      <c r="AB36" s="586"/>
      <c r="AC36" s="586">
        <v>2639.5</v>
      </c>
      <c r="AD36" s="528">
        <v>2639.5</v>
      </c>
      <c r="AE36" s="528"/>
      <c r="AF36" s="529">
        <f t="shared" si="0"/>
        <v>2294.5</v>
      </c>
      <c r="AG36" s="528">
        <f>AC36-AH36</f>
        <v>339.5</v>
      </c>
      <c r="AH36" s="528">
        <v>2300</v>
      </c>
      <c r="AI36" s="545">
        <v>0.15</v>
      </c>
      <c r="AJ36" s="530">
        <f>AH36*AI36</f>
        <v>345</v>
      </c>
      <c r="AK36" s="528">
        <v>531</v>
      </c>
      <c r="AL36" s="530">
        <f>AK36*7</f>
        <v>3717</v>
      </c>
      <c r="AM36" s="727">
        <f>AJ36</f>
        <v>345</v>
      </c>
      <c r="AN36" s="668">
        <v>230</v>
      </c>
      <c r="AO36" s="580">
        <f>AM36-AN36</f>
        <v>115</v>
      </c>
      <c r="AP36" s="530">
        <f>AO36/AN36</f>
        <v>0.5</v>
      </c>
      <c r="AQ36" s="590">
        <f>AI36-5%</f>
        <v>9.9999999999999992E-2</v>
      </c>
      <c r="AR36" s="587">
        <f>AH36*AQ36</f>
        <v>229.99999999999997</v>
      </c>
      <c r="AS36" s="587">
        <f>AN36-AR36</f>
        <v>0</v>
      </c>
      <c r="AT36" s="588"/>
      <c r="AU36" s="588"/>
      <c r="AV36" s="525"/>
      <c r="AW36" s="526" t="s">
        <v>133</v>
      </c>
    </row>
    <row r="37" spans="1:49" ht="36" customHeight="1">
      <c r="A37" s="524">
        <v>21</v>
      </c>
      <c r="B37" s="525" t="s">
        <v>3351</v>
      </c>
      <c r="C37" s="526" t="s">
        <v>129</v>
      </c>
      <c r="D37" s="525" t="s">
        <v>101</v>
      </c>
      <c r="E37" s="576" t="s">
        <v>75</v>
      </c>
      <c r="F37" s="576" t="s">
        <v>75</v>
      </c>
      <c r="G37" s="576" t="s">
        <v>75</v>
      </c>
      <c r="H37" s="576" t="s">
        <v>75</v>
      </c>
      <c r="I37" s="576" t="s">
        <v>75</v>
      </c>
      <c r="J37" s="576" t="s">
        <v>75</v>
      </c>
      <c r="K37" s="576" t="s">
        <v>75</v>
      </c>
      <c r="L37" s="526"/>
      <c r="M37" s="526"/>
      <c r="N37" s="526"/>
      <c r="O37" s="526"/>
      <c r="P37" s="526"/>
      <c r="Q37" s="526"/>
      <c r="R37" s="526" t="s">
        <v>75</v>
      </c>
      <c r="S37" s="526"/>
      <c r="T37" s="526"/>
      <c r="U37" s="526" t="s">
        <v>75</v>
      </c>
      <c r="V37" s="586"/>
      <c r="W37" s="586"/>
      <c r="X37" s="586"/>
      <c r="Y37" s="586"/>
      <c r="Z37" s="586"/>
      <c r="AA37" s="586"/>
      <c r="AB37" s="586"/>
      <c r="AC37" s="586"/>
      <c r="AD37" s="528">
        <v>3.31</v>
      </c>
      <c r="AE37" s="528"/>
      <c r="AF37" s="529">
        <f t="shared" si="0"/>
        <v>0.31000000000000005</v>
      </c>
      <c r="AG37" s="528"/>
      <c r="AH37" s="528"/>
      <c r="AI37" s="579"/>
      <c r="AJ37" s="529"/>
      <c r="AK37" s="529"/>
      <c r="AL37" s="529"/>
      <c r="AM37" s="727">
        <v>3</v>
      </c>
      <c r="AN37" s="668"/>
      <c r="AO37" s="605"/>
      <c r="AP37" s="528"/>
      <c r="AQ37" s="528"/>
      <c r="AR37" s="528"/>
      <c r="AS37" s="528"/>
      <c r="AT37" s="606"/>
      <c r="AU37" s="606"/>
      <c r="AV37" s="525"/>
      <c r="AW37" s="526" t="s">
        <v>139</v>
      </c>
    </row>
    <row r="38" spans="1:49" ht="36" customHeight="1">
      <c r="A38" s="524">
        <v>21</v>
      </c>
      <c r="B38" s="525" t="s">
        <v>138</v>
      </c>
      <c r="C38" s="526" t="s">
        <v>129</v>
      </c>
      <c r="D38" s="525" t="s">
        <v>98</v>
      </c>
      <c r="E38" s="576" t="s">
        <v>75</v>
      </c>
      <c r="F38" s="576" t="s">
        <v>75</v>
      </c>
      <c r="G38" s="576" t="s">
        <v>75</v>
      </c>
      <c r="H38" s="576" t="s">
        <v>75</v>
      </c>
      <c r="I38" s="576" t="s">
        <v>75</v>
      </c>
      <c r="J38" s="576" t="s">
        <v>75</v>
      </c>
      <c r="K38" s="526"/>
      <c r="L38" s="576" t="s">
        <v>75</v>
      </c>
      <c r="M38" s="526"/>
      <c r="N38" s="526"/>
      <c r="O38" s="526"/>
      <c r="P38" s="526"/>
      <c r="Q38" s="526"/>
      <c r="R38" s="526" t="s">
        <v>75</v>
      </c>
      <c r="S38" s="526"/>
      <c r="T38" s="526"/>
      <c r="U38" s="586"/>
      <c r="V38" s="576" t="s">
        <v>75</v>
      </c>
      <c r="W38" s="586"/>
      <c r="X38" s="586"/>
      <c r="Y38" s="586"/>
      <c r="Z38" s="586"/>
      <c r="AA38" s="586"/>
      <c r="AB38" s="586"/>
      <c r="AC38" s="586"/>
      <c r="AD38" s="528">
        <v>4.25</v>
      </c>
      <c r="AE38" s="528"/>
      <c r="AF38" s="529">
        <f t="shared" si="0"/>
        <v>0.25</v>
      </c>
      <c r="AG38" s="528">
        <v>0.25</v>
      </c>
      <c r="AH38" s="528"/>
      <c r="AI38" s="593"/>
      <c r="AJ38" s="528"/>
      <c r="AK38" s="528"/>
      <c r="AL38" s="528"/>
      <c r="AM38" s="727">
        <v>4</v>
      </c>
      <c r="AN38" s="668"/>
      <c r="AO38" s="605"/>
      <c r="AP38" s="528"/>
      <c r="AQ38" s="528"/>
      <c r="AR38" s="528"/>
      <c r="AS38" s="528"/>
      <c r="AT38" s="606"/>
      <c r="AU38" s="606"/>
      <c r="AV38" s="525"/>
      <c r="AW38" s="526" t="s">
        <v>139</v>
      </c>
    </row>
    <row r="39" spans="1:49" ht="36" customHeight="1">
      <c r="A39" s="524">
        <v>23</v>
      </c>
      <c r="B39" s="575" t="s">
        <v>3352</v>
      </c>
      <c r="C39" s="576" t="s">
        <v>89</v>
      </c>
      <c r="D39" s="575" t="s">
        <v>105</v>
      </c>
      <c r="E39" s="576"/>
      <c r="F39" s="576"/>
      <c r="G39" s="576"/>
      <c r="H39" s="576"/>
      <c r="I39" s="576"/>
      <c r="J39" s="576"/>
      <c r="K39" s="576"/>
      <c r="L39" s="576"/>
      <c r="M39" s="576"/>
      <c r="N39" s="576"/>
      <c r="O39" s="576"/>
      <c r="P39" s="532"/>
      <c r="Q39" s="532"/>
      <c r="R39" s="532"/>
      <c r="S39" s="532"/>
      <c r="T39" s="532"/>
      <c r="U39" s="527"/>
      <c r="V39" s="527"/>
      <c r="W39" s="527"/>
      <c r="X39" s="527"/>
      <c r="Y39" s="527"/>
      <c r="Z39" s="527"/>
      <c r="AA39" s="527"/>
      <c r="AB39" s="527"/>
      <c r="AC39" s="527"/>
      <c r="AD39" s="529">
        <v>32.5</v>
      </c>
      <c r="AE39" s="529"/>
      <c r="AF39" s="529">
        <f t="shared" si="0"/>
        <v>0</v>
      </c>
      <c r="AG39" s="530"/>
      <c r="AH39" s="529"/>
      <c r="AI39" s="579"/>
      <c r="AJ39" s="529"/>
      <c r="AK39" s="530"/>
      <c r="AL39" s="530"/>
      <c r="AM39" s="726">
        <v>32.5</v>
      </c>
      <c r="AN39" s="667"/>
      <c r="AO39" s="580"/>
      <c r="AP39" s="530"/>
      <c r="AQ39" s="530"/>
      <c r="AR39" s="530"/>
      <c r="AS39" s="530"/>
      <c r="AT39" s="581"/>
      <c r="AU39" s="581"/>
      <c r="AV39" s="525"/>
      <c r="AW39" s="532"/>
    </row>
    <row r="40" spans="1:49" ht="36" customHeight="1">
      <c r="A40" s="524">
        <v>23</v>
      </c>
      <c r="B40" s="575" t="s">
        <v>3184</v>
      </c>
      <c r="C40" s="576" t="s">
        <v>89</v>
      </c>
      <c r="D40" s="525" t="s">
        <v>104</v>
      </c>
      <c r="E40" s="576" t="s">
        <v>75</v>
      </c>
      <c r="F40" s="576" t="s">
        <v>3138</v>
      </c>
      <c r="G40" s="576" t="s">
        <v>75</v>
      </c>
      <c r="H40" s="576" t="s">
        <v>75</v>
      </c>
      <c r="I40" s="576" t="s">
        <v>75</v>
      </c>
      <c r="J40" s="576" t="s">
        <v>3120</v>
      </c>
      <c r="K40" s="576"/>
      <c r="L40" s="576"/>
      <c r="M40" s="576"/>
      <c r="N40" s="576"/>
      <c r="O40" s="576"/>
      <c r="P40" s="532"/>
      <c r="Q40" s="532"/>
      <c r="R40" s="532"/>
      <c r="S40" s="532"/>
      <c r="T40" s="532"/>
      <c r="U40" s="527"/>
      <c r="V40" s="527"/>
      <c r="W40" s="527"/>
      <c r="X40" s="527"/>
      <c r="Y40" s="527"/>
      <c r="Z40" s="527"/>
      <c r="AA40" s="527"/>
      <c r="AB40" s="527"/>
      <c r="AC40" s="527"/>
      <c r="AD40" s="529">
        <v>70</v>
      </c>
      <c r="AE40" s="529"/>
      <c r="AF40" s="529">
        <f t="shared" si="0"/>
        <v>40</v>
      </c>
      <c r="AG40" s="530"/>
      <c r="AH40" s="529"/>
      <c r="AI40" s="579"/>
      <c r="AJ40" s="529"/>
      <c r="AK40" s="530"/>
      <c r="AL40" s="530"/>
      <c r="AM40" s="726">
        <v>30</v>
      </c>
      <c r="AN40" s="667"/>
      <c r="AO40" s="580"/>
      <c r="AP40" s="530"/>
      <c r="AQ40" s="530"/>
      <c r="AR40" s="530"/>
      <c r="AS40" s="530"/>
      <c r="AT40" s="581"/>
      <c r="AU40" s="581"/>
      <c r="AV40" s="525"/>
      <c r="AW40" s="532"/>
    </row>
    <row r="41" spans="1:49" ht="36" customHeight="1">
      <c r="A41" s="524">
        <v>23</v>
      </c>
      <c r="B41" s="575" t="s">
        <v>3184</v>
      </c>
      <c r="C41" s="576" t="s">
        <v>89</v>
      </c>
      <c r="D41" s="525" t="s">
        <v>101</v>
      </c>
      <c r="E41" s="576" t="s">
        <v>75</v>
      </c>
      <c r="F41" s="576" t="s">
        <v>75</v>
      </c>
      <c r="G41" s="576" t="s">
        <v>75</v>
      </c>
      <c r="H41" s="576" t="s">
        <v>75</v>
      </c>
      <c r="I41" s="576" t="s">
        <v>75</v>
      </c>
      <c r="J41" s="576" t="s">
        <v>75</v>
      </c>
      <c r="K41" s="576" t="s">
        <v>75</v>
      </c>
      <c r="L41" s="576"/>
      <c r="M41" s="576"/>
      <c r="N41" s="576"/>
      <c r="O41" s="576"/>
      <c r="P41" s="532"/>
      <c r="Q41" s="532"/>
      <c r="R41" s="532"/>
      <c r="S41" s="532"/>
      <c r="T41" s="532"/>
      <c r="U41" s="527"/>
      <c r="V41" s="527"/>
      <c r="W41" s="527"/>
      <c r="X41" s="527"/>
      <c r="Y41" s="527"/>
      <c r="Z41" s="527"/>
      <c r="AA41" s="527"/>
      <c r="AB41" s="527"/>
      <c r="AC41" s="527"/>
      <c r="AD41" s="529">
        <v>3</v>
      </c>
      <c r="AE41" s="529"/>
      <c r="AF41" s="529">
        <f t="shared" si="0"/>
        <v>0.20000000000000018</v>
      </c>
      <c r="AG41" s="530"/>
      <c r="AH41" s="529"/>
      <c r="AI41" s="579"/>
      <c r="AJ41" s="529"/>
      <c r="AK41" s="530"/>
      <c r="AL41" s="530"/>
      <c r="AM41" s="726">
        <v>2.8</v>
      </c>
      <c r="AN41" s="667"/>
      <c r="AO41" s="580"/>
      <c r="AP41" s="530"/>
      <c r="AQ41" s="530"/>
      <c r="AR41" s="530"/>
      <c r="AS41" s="530"/>
      <c r="AT41" s="581"/>
      <c r="AU41" s="581"/>
      <c r="AV41" s="525"/>
      <c r="AW41" s="532"/>
    </row>
    <row r="42" spans="1:49" ht="36" customHeight="1">
      <c r="A42" s="524">
        <v>23</v>
      </c>
      <c r="B42" s="575" t="s">
        <v>3444</v>
      </c>
      <c r="C42" s="576" t="s">
        <v>89</v>
      </c>
      <c r="D42" s="577" t="s">
        <v>85</v>
      </c>
      <c r="E42" s="576" t="s">
        <v>75</v>
      </c>
      <c r="F42" s="576" t="s">
        <v>3183</v>
      </c>
      <c r="G42" s="576" t="s">
        <v>75</v>
      </c>
      <c r="H42" s="576" t="s">
        <v>75</v>
      </c>
      <c r="I42" s="576" t="s">
        <v>75</v>
      </c>
      <c r="J42" s="576" t="s">
        <v>75</v>
      </c>
      <c r="K42" s="576" t="s">
        <v>75</v>
      </c>
      <c r="L42" s="576"/>
      <c r="M42" s="576"/>
      <c r="N42" s="576"/>
      <c r="O42" s="576"/>
      <c r="P42" s="532"/>
      <c r="Q42" s="532"/>
      <c r="R42" s="532"/>
      <c r="S42" s="532"/>
      <c r="T42" s="532"/>
      <c r="U42" s="527"/>
      <c r="V42" s="527"/>
      <c r="W42" s="527"/>
      <c r="X42" s="527"/>
      <c r="Y42" s="527"/>
      <c r="Z42" s="527"/>
      <c r="AA42" s="527"/>
      <c r="AB42" s="527"/>
      <c r="AC42" s="527"/>
      <c r="AD42" s="529">
        <f>AE42*7</f>
        <v>7875</v>
      </c>
      <c r="AE42" s="529">
        <v>1125</v>
      </c>
      <c r="AF42" s="529">
        <f t="shared" si="0"/>
        <v>7087.5</v>
      </c>
      <c r="AG42" s="530"/>
      <c r="AH42" s="529">
        <f>1125*7</f>
        <v>7875</v>
      </c>
      <c r="AI42" s="579">
        <v>0.1</v>
      </c>
      <c r="AJ42" s="529">
        <f>AH42*AI42</f>
        <v>787.5</v>
      </c>
      <c r="AK42" s="530">
        <v>142</v>
      </c>
      <c r="AL42" s="530">
        <f>AK42*7</f>
        <v>994</v>
      </c>
      <c r="AM42" s="726">
        <f>AJ42</f>
        <v>787.5</v>
      </c>
      <c r="AN42" s="736">
        <v>393.75</v>
      </c>
      <c r="AO42" s="580"/>
      <c r="AP42" s="530"/>
      <c r="AQ42" s="530">
        <f>AI42-5%</f>
        <v>0.05</v>
      </c>
      <c r="AR42" s="530">
        <f>AH42*AQ42</f>
        <v>393.75</v>
      </c>
      <c r="AS42" s="530">
        <f>AN42-AR42</f>
        <v>0</v>
      </c>
      <c r="AT42" s="581"/>
      <c r="AU42" s="581"/>
      <c r="AV42" s="525"/>
      <c r="AW42" s="532"/>
    </row>
    <row r="43" spans="1:49" ht="36" customHeight="1">
      <c r="A43" s="524">
        <v>24</v>
      </c>
      <c r="B43" s="575" t="s">
        <v>3195</v>
      </c>
      <c r="C43" s="576" t="s">
        <v>89</v>
      </c>
      <c r="D43" s="525" t="s">
        <v>101</v>
      </c>
      <c r="E43" s="576" t="s">
        <v>75</v>
      </c>
      <c r="F43" s="576" t="s">
        <v>75</v>
      </c>
      <c r="G43" s="576" t="s">
        <v>75</v>
      </c>
      <c r="H43" s="576" t="s">
        <v>75</v>
      </c>
      <c r="I43" s="576" t="s">
        <v>75</v>
      </c>
      <c r="J43" s="576" t="s">
        <v>75</v>
      </c>
      <c r="K43" s="576" t="s">
        <v>75</v>
      </c>
      <c r="L43" s="576"/>
      <c r="M43" s="576"/>
      <c r="N43" s="576"/>
      <c r="O43" s="576"/>
      <c r="P43" s="532"/>
      <c r="Q43" s="532"/>
      <c r="R43" s="532"/>
      <c r="S43" s="532"/>
      <c r="T43" s="532"/>
      <c r="U43" s="527"/>
      <c r="V43" s="527"/>
      <c r="W43" s="527"/>
      <c r="X43" s="527"/>
      <c r="Y43" s="527"/>
      <c r="Z43" s="527"/>
      <c r="AA43" s="527"/>
      <c r="AB43" s="527"/>
      <c r="AC43" s="527"/>
      <c r="AD43" s="529">
        <v>6</v>
      </c>
      <c r="AE43" s="529"/>
      <c r="AF43" s="529">
        <f t="shared" si="0"/>
        <v>6</v>
      </c>
      <c r="AG43" s="530"/>
      <c r="AH43" s="529"/>
      <c r="AI43" s="579"/>
      <c r="AJ43" s="529"/>
      <c r="AK43" s="530"/>
      <c r="AL43" s="530"/>
      <c r="AM43" s="726"/>
      <c r="AN43" s="667"/>
      <c r="AO43" s="580"/>
      <c r="AP43" s="530"/>
      <c r="AQ43" s="530"/>
      <c r="AR43" s="530"/>
      <c r="AS43" s="530"/>
      <c r="AT43" s="581"/>
      <c r="AU43" s="581"/>
      <c r="AV43" s="575" t="s">
        <v>3197</v>
      </c>
      <c r="AW43" s="532"/>
    </row>
    <row r="44" spans="1:49" ht="36" customHeight="1">
      <c r="A44" s="524">
        <v>24</v>
      </c>
      <c r="B44" s="575" t="s">
        <v>3445</v>
      </c>
      <c r="C44" s="576" t="s">
        <v>89</v>
      </c>
      <c r="D44" s="577" t="s">
        <v>85</v>
      </c>
      <c r="E44" s="576" t="s">
        <v>75</v>
      </c>
      <c r="F44" s="576" t="s">
        <v>75</v>
      </c>
      <c r="G44" s="576" t="s">
        <v>75</v>
      </c>
      <c r="H44" s="576" t="s">
        <v>75</v>
      </c>
      <c r="I44" s="576" t="s">
        <v>75</v>
      </c>
      <c r="J44" s="576" t="s">
        <v>75</v>
      </c>
      <c r="K44" s="576"/>
      <c r="L44" s="576"/>
      <c r="M44" s="576"/>
      <c r="N44" s="576"/>
      <c r="O44" s="576"/>
      <c r="P44" s="532"/>
      <c r="Q44" s="532"/>
      <c r="R44" s="532"/>
      <c r="S44" s="532"/>
      <c r="T44" s="532"/>
      <c r="U44" s="527"/>
      <c r="V44" s="527"/>
      <c r="W44" s="527"/>
      <c r="X44" s="527"/>
      <c r="Y44" s="527"/>
      <c r="Z44" s="527"/>
      <c r="AA44" s="527"/>
      <c r="AB44" s="527"/>
      <c r="AC44" s="527"/>
      <c r="AD44" s="529">
        <f>1102*7+92</f>
        <v>7806</v>
      </c>
      <c r="AE44" s="529"/>
      <c r="AF44" s="529">
        <f t="shared" si="0"/>
        <v>7025.4</v>
      </c>
      <c r="AG44" s="530"/>
      <c r="AH44" s="529">
        <f>AJ44/AI44</f>
        <v>7806</v>
      </c>
      <c r="AI44" s="579">
        <v>0.1</v>
      </c>
      <c r="AJ44" s="529">
        <f>AD44*AI44</f>
        <v>780.6</v>
      </c>
      <c r="AK44" s="530"/>
      <c r="AL44" s="530"/>
      <c r="AM44" s="726">
        <f>AJ44</f>
        <v>780.6</v>
      </c>
      <c r="AN44" s="736">
        <v>417</v>
      </c>
      <c r="AO44" s="580"/>
      <c r="AP44" s="530"/>
      <c r="AQ44" s="530">
        <f t="shared" ref="AQ44" si="5">AI44-5%</f>
        <v>0.05</v>
      </c>
      <c r="AR44" s="530">
        <f t="shared" ref="AR44:AR45" si="6">AH44*AQ44</f>
        <v>390.3</v>
      </c>
      <c r="AS44" s="530">
        <f t="shared" ref="AS44:AS45" si="7">AN44-AR44</f>
        <v>26.699999999999989</v>
      </c>
      <c r="AT44" s="581"/>
      <c r="AU44" s="581"/>
      <c r="AV44" s="525"/>
      <c r="AW44" s="532"/>
    </row>
    <row r="45" spans="1:49" ht="36" customHeight="1">
      <c r="A45" s="524">
        <v>25</v>
      </c>
      <c r="B45" s="575" t="s">
        <v>3446</v>
      </c>
      <c r="C45" s="576" t="s">
        <v>89</v>
      </c>
      <c r="D45" s="577" t="s">
        <v>85</v>
      </c>
      <c r="E45" s="576" t="s">
        <v>75</v>
      </c>
      <c r="F45" s="576" t="s">
        <v>75</v>
      </c>
      <c r="G45" s="576" t="s">
        <v>75</v>
      </c>
      <c r="H45" s="576" t="s">
        <v>75</v>
      </c>
      <c r="I45" s="576" t="s">
        <v>75</v>
      </c>
      <c r="J45" s="526" t="s">
        <v>118</v>
      </c>
      <c r="K45" s="526"/>
      <c r="L45" s="526"/>
      <c r="M45" s="526"/>
      <c r="N45" s="526"/>
      <c r="O45" s="526"/>
      <c r="P45" s="526"/>
      <c r="Q45" s="576" t="s">
        <v>75</v>
      </c>
      <c r="R45" s="576" t="s">
        <v>75</v>
      </c>
      <c r="S45" s="526"/>
      <c r="T45" s="526"/>
      <c r="U45" s="527"/>
      <c r="V45" s="527"/>
      <c r="W45" s="527"/>
      <c r="X45" s="527"/>
      <c r="Y45" s="527"/>
      <c r="Z45" s="527"/>
      <c r="AA45" s="527"/>
      <c r="AB45" s="527"/>
      <c r="AC45" s="527"/>
      <c r="AD45" s="528">
        <v>587.59850000000006</v>
      </c>
      <c r="AE45" s="530"/>
      <c r="AF45" s="529">
        <f t="shared" si="0"/>
        <v>0.59850000000005821</v>
      </c>
      <c r="AG45" s="530"/>
      <c r="AH45" s="530">
        <f>AM45</f>
        <v>587</v>
      </c>
      <c r="AI45" s="545">
        <v>1</v>
      </c>
      <c r="AJ45" s="530">
        <v>587.59850000000006</v>
      </c>
      <c r="AK45" s="530"/>
      <c r="AL45" s="530"/>
      <c r="AM45" s="726">
        <v>587</v>
      </c>
      <c r="AN45" s="736">
        <v>587</v>
      </c>
      <c r="AO45" s="580"/>
      <c r="AP45" s="530"/>
      <c r="AQ45" s="530">
        <v>1</v>
      </c>
      <c r="AR45" s="530">
        <f t="shared" si="6"/>
        <v>587</v>
      </c>
      <c r="AS45" s="530">
        <f t="shared" si="7"/>
        <v>0</v>
      </c>
      <c r="AT45" s="581"/>
      <c r="AU45" s="581"/>
      <c r="AV45" s="531"/>
      <c r="AW45" s="532"/>
    </row>
    <row r="46" spans="1:49" ht="36" customHeight="1">
      <c r="A46" s="574">
        <v>26</v>
      </c>
      <c r="B46" s="575" t="s">
        <v>3399</v>
      </c>
      <c r="C46" s="576" t="s">
        <v>3241</v>
      </c>
      <c r="D46" s="577" t="s">
        <v>85</v>
      </c>
      <c r="E46" s="589" t="s">
        <v>3242</v>
      </c>
      <c r="F46" s="589" t="s">
        <v>3242</v>
      </c>
      <c r="G46" s="589" t="s">
        <v>3242</v>
      </c>
      <c r="H46" s="589" t="s">
        <v>3242</v>
      </c>
      <c r="I46" s="542" t="s">
        <v>3243</v>
      </c>
      <c r="J46" s="589" t="s">
        <v>3242</v>
      </c>
      <c r="K46" s="589"/>
      <c r="L46" s="589"/>
      <c r="M46" s="589"/>
      <c r="N46" s="589"/>
      <c r="O46" s="589"/>
      <c r="P46" s="589"/>
      <c r="Q46" s="589" t="s">
        <v>3242</v>
      </c>
      <c r="R46" s="589" t="s">
        <v>3242</v>
      </c>
      <c r="S46" s="589"/>
      <c r="T46" s="589"/>
      <c r="U46" s="527"/>
      <c r="V46" s="527"/>
      <c r="W46" s="527"/>
      <c r="X46" s="527"/>
      <c r="Y46" s="527"/>
      <c r="Z46" s="527"/>
      <c r="AA46" s="527"/>
      <c r="AB46" s="527"/>
      <c r="AC46" s="527"/>
      <c r="AD46" s="529">
        <v>353.63</v>
      </c>
      <c r="AE46" s="529">
        <v>50.2</v>
      </c>
      <c r="AF46" s="529">
        <f t="shared" si="0"/>
        <v>284.63</v>
      </c>
      <c r="AG46" s="530">
        <v>15</v>
      </c>
      <c r="AH46" s="530">
        <v>692</v>
      </c>
      <c r="AI46" s="545">
        <v>0.1</v>
      </c>
      <c r="AJ46" s="530">
        <v>69</v>
      </c>
      <c r="AK46" s="530">
        <v>101</v>
      </c>
      <c r="AL46" s="530">
        <f>AK46*7</f>
        <v>707</v>
      </c>
      <c r="AM46" s="726">
        <v>69</v>
      </c>
      <c r="AN46" s="667">
        <v>45</v>
      </c>
      <c r="AO46" s="580">
        <f>AM46-AN46</f>
        <v>24</v>
      </c>
      <c r="AP46" s="530">
        <f>AO46/AN46</f>
        <v>0.53333333333333333</v>
      </c>
      <c r="AQ46" s="590">
        <f>AI46-5%</f>
        <v>0.05</v>
      </c>
      <c r="AR46" s="587">
        <f>AH46*AQ46</f>
        <v>34.6</v>
      </c>
      <c r="AS46" s="587">
        <f>AN46-AR46</f>
        <v>10.399999999999999</v>
      </c>
      <c r="AT46" s="588"/>
      <c r="AU46" s="588"/>
      <c r="AV46" s="531"/>
      <c r="AW46" s="532"/>
    </row>
    <row r="47" spans="1:49" ht="36" customHeight="1">
      <c r="A47" s="574">
        <v>27</v>
      </c>
      <c r="B47" s="575" t="s">
        <v>3353</v>
      </c>
      <c r="C47" s="576" t="s">
        <v>3204</v>
      </c>
      <c r="D47" s="577" t="s">
        <v>85</v>
      </c>
      <c r="E47" s="532" t="s">
        <v>75</v>
      </c>
      <c r="F47" s="532" t="s">
        <v>75</v>
      </c>
      <c r="G47" s="532" t="s">
        <v>75</v>
      </c>
      <c r="H47" s="532" t="s">
        <v>75</v>
      </c>
      <c r="I47" s="532" t="s">
        <v>75</v>
      </c>
      <c r="J47" s="532" t="s">
        <v>75</v>
      </c>
      <c r="K47" s="532"/>
      <c r="L47" s="532"/>
      <c r="M47" s="532"/>
      <c r="N47" s="532"/>
      <c r="O47" s="532"/>
      <c r="P47" s="532"/>
      <c r="Q47" s="532"/>
      <c r="R47" s="532"/>
      <c r="S47" s="532"/>
      <c r="T47" s="532"/>
      <c r="U47" s="527"/>
      <c r="V47" s="527"/>
      <c r="W47" s="527"/>
      <c r="X47" s="527"/>
      <c r="Y47" s="527"/>
      <c r="Z47" s="527"/>
      <c r="AA47" s="527"/>
      <c r="AB47" s="527"/>
      <c r="AC47" s="527"/>
      <c r="AD47" s="530">
        <f>AE47*7</f>
        <v>5110</v>
      </c>
      <c r="AE47" s="530">
        <v>730</v>
      </c>
      <c r="AF47" s="529">
        <f t="shared" si="0"/>
        <v>4599</v>
      </c>
      <c r="AG47" s="529"/>
      <c r="AH47" s="529"/>
      <c r="AI47" s="579">
        <v>0.1</v>
      </c>
      <c r="AJ47" s="529">
        <v>511</v>
      </c>
      <c r="AK47" s="530"/>
      <c r="AL47" s="530"/>
      <c r="AM47" s="726">
        <f>AJ47</f>
        <v>511</v>
      </c>
      <c r="AN47" s="667"/>
      <c r="AO47" s="580"/>
      <c r="AP47" s="530"/>
      <c r="AQ47" s="530"/>
      <c r="AR47" s="530"/>
      <c r="AS47" s="530"/>
      <c r="AT47" s="581"/>
      <c r="AU47" s="581"/>
      <c r="AV47" s="577"/>
      <c r="AW47" s="532"/>
    </row>
    <row r="48" spans="1:49" ht="36" customHeight="1">
      <c r="A48" s="524">
        <v>28</v>
      </c>
      <c r="B48" s="525" t="s">
        <v>3421</v>
      </c>
      <c r="C48" s="526" t="s">
        <v>134</v>
      </c>
      <c r="D48" s="577" t="s">
        <v>85</v>
      </c>
      <c r="E48" s="525" t="s">
        <v>75</v>
      </c>
      <c r="F48" s="525" t="s">
        <v>75</v>
      </c>
      <c r="G48" s="525" t="s">
        <v>75</v>
      </c>
      <c r="H48" s="525" t="s">
        <v>75</v>
      </c>
      <c r="I48" s="525" t="s">
        <v>75</v>
      </c>
      <c r="J48" s="607" t="s">
        <v>75</v>
      </c>
      <c r="K48" s="525"/>
      <c r="L48" s="525"/>
      <c r="M48" s="525"/>
      <c r="N48" s="525"/>
      <c r="O48" s="525"/>
      <c r="P48" s="525"/>
      <c r="Q48" s="525" t="s">
        <v>75</v>
      </c>
      <c r="R48" s="525" t="s">
        <v>75</v>
      </c>
      <c r="S48" s="525"/>
      <c r="T48" s="525"/>
      <c r="U48" s="608"/>
      <c r="V48" s="592"/>
      <c r="W48" s="592"/>
      <c r="X48" s="592"/>
      <c r="Y48" s="592"/>
      <c r="Z48" s="592"/>
      <c r="AA48" s="527"/>
      <c r="AB48" s="527"/>
      <c r="AC48" s="527"/>
      <c r="AD48" s="528">
        <v>1664</v>
      </c>
      <c r="AE48" s="528"/>
      <c r="AF48" s="529">
        <f t="shared" si="0"/>
        <v>558</v>
      </c>
      <c r="AG48" s="528"/>
      <c r="AH48" s="528">
        <v>8000</v>
      </c>
      <c r="AI48" s="593">
        <v>0.15</v>
      </c>
      <c r="AJ48" s="528">
        <f>AH48*AI48</f>
        <v>1200</v>
      </c>
      <c r="AK48" s="530">
        <v>158</v>
      </c>
      <c r="AL48" s="678">
        <f>AK48*7</f>
        <v>1106</v>
      </c>
      <c r="AM48" s="726">
        <f>AL48</f>
        <v>1106</v>
      </c>
      <c r="AN48" s="667">
        <v>733</v>
      </c>
      <c r="AO48" s="580"/>
      <c r="AP48" s="530"/>
      <c r="AQ48" s="530">
        <f t="shared" ref="AQ48:AQ50" si="8">AI48-5%</f>
        <v>9.9999999999999992E-2</v>
      </c>
      <c r="AR48" s="530">
        <f t="shared" ref="AR48:AR50" si="9">AH48*AQ48</f>
        <v>799.99999999999989</v>
      </c>
      <c r="AS48" s="491">
        <f t="shared" ref="AS48:AS50" si="10">AN48-AR48</f>
        <v>-66.999999999999886</v>
      </c>
      <c r="AT48" s="581"/>
      <c r="AU48" s="581"/>
      <c r="AV48" s="531"/>
      <c r="AW48" s="532"/>
    </row>
    <row r="49" spans="1:49" ht="36" customHeight="1">
      <c r="A49" s="524">
        <v>29</v>
      </c>
      <c r="B49" s="575" t="s">
        <v>3422</v>
      </c>
      <c r="C49" s="576" t="s">
        <v>134</v>
      </c>
      <c r="D49" s="575" t="s">
        <v>3239</v>
      </c>
      <c r="E49" s="576" t="s">
        <v>75</v>
      </c>
      <c r="F49" s="576" t="s">
        <v>75</v>
      </c>
      <c r="G49" s="576" t="s">
        <v>75</v>
      </c>
      <c r="H49" s="576" t="s">
        <v>75</v>
      </c>
      <c r="I49" s="576" t="s">
        <v>75</v>
      </c>
      <c r="J49" s="576" t="s">
        <v>75</v>
      </c>
      <c r="K49" s="576"/>
      <c r="L49" s="576"/>
      <c r="M49" s="576"/>
      <c r="N49" s="576"/>
      <c r="O49" s="576"/>
      <c r="P49" s="532"/>
      <c r="Q49" s="532"/>
      <c r="R49" s="532"/>
      <c r="S49" s="532"/>
      <c r="T49" s="532"/>
      <c r="U49" s="527"/>
      <c r="V49" s="527"/>
      <c r="W49" s="527"/>
      <c r="X49" s="527"/>
      <c r="Y49" s="527"/>
      <c r="Z49" s="527"/>
      <c r="AA49" s="527"/>
      <c r="AB49" s="527"/>
      <c r="AC49" s="527"/>
      <c r="AD49" s="529">
        <v>632</v>
      </c>
      <c r="AE49" s="529"/>
      <c r="AF49" s="529">
        <f t="shared" si="0"/>
        <v>0</v>
      </c>
      <c r="AG49" s="530"/>
      <c r="AH49" s="529">
        <v>632</v>
      </c>
      <c r="AI49" s="579">
        <v>1</v>
      </c>
      <c r="AJ49" s="529">
        <v>632</v>
      </c>
      <c r="AK49" s="530"/>
      <c r="AL49" s="678"/>
      <c r="AM49" s="726">
        <v>632</v>
      </c>
      <c r="AN49" s="667">
        <f>AM49</f>
        <v>632</v>
      </c>
      <c r="AO49" s="580"/>
      <c r="AP49" s="530"/>
      <c r="AQ49" s="530">
        <v>1</v>
      </c>
      <c r="AR49" s="530">
        <f t="shared" si="9"/>
        <v>632</v>
      </c>
      <c r="AS49" s="491">
        <f t="shared" si="10"/>
        <v>0</v>
      </c>
      <c r="AT49" s="581"/>
      <c r="AU49" s="581"/>
      <c r="AV49" s="585"/>
      <c r="AW49" s="532"/>
    </row>
    <row r="50" spans="1:49" ht="36" customHeight="1">
      <c r="A50" s="524">
        <v>29</v>
      </c>
      <c r="B50" s="575" t="s">
        <v>3422</v>
      </c>
      <c r="C50" s="576" t="s">
        <v>134</v>
      </c>
      <c r="D50" s="577" t="s">
        <v>85</v>
      </c>
      <c r="E50" s="576" t="s">
        <v>75</v>
      </c>
      <c r="F50" s="576" t="s">
        <v>75</v>
      </c>
      <c r="G50" s="576" t="s">
        <v>75</v>
      </c>
      <c r="H50" s="576" t="s">
        <v>75</v>
      </c>
      <c r="I50" s="576" t="s">
        <v>75</v>
      </c>
      <c r="J50" s="576" t="s">
        <v>75</v>
      </c>
      <c r="K50" s="576" t="s">
        <v>75</v>
      </c>
      <c r="L50" s="576"/>
      <c r="M50" s="576"/>
      <c r="N50" s="576"/>
      <c r="O50" s="576"/>
      <c r="P50" s="532"/>
      <c r="Q50" s="532"/>
      <c r="R50" s="532"/>
      <c r="S50" s="532"/>
      <c r="T50" s="532"/>
      <c r="U50" s="527"/>
      <c r="V50" s="527"/>
      <c r="W50" s="527"/>
      <c r="X50" s="527"/>
      <c r="Y50" s="527"/>
      <c r="Z50" s="527"/>
      <c r="AA50" s="527"/>
      <c r="AB50" s="527"/>
      <c r="AC50" s="527"/>
      <c r="AD50" s="529">
        <f>1073</f>
        <v>1073</v>
      </c>
      <c r="AE50" s="529"/>
      <c r="AF50" s="529">
        <f t="shared" si="0"/>
        <v>198</v>
      </c>
      <c r="AG50" s="530"/>
      <c r="AH50" s="664">
        <v>7000</v>
      </c>
      <c r="AI50" s="579">
        <v>0.15</v>
      </c>
      <c r="AJ50" s="529">
        <f>AH50*AI50</f>
        <v>1050</v>
      </c>
      <c r="AK50" s="530">
        <v>125</v>
      </c>
      <c r="AL50" s="678">
        <f t="shared" ref="AL50" si="11">AK50*7</f>
        <v>875</v>
      </c>
      <c r="AM50" s="726">
        <f>AL50</f>
        <v>875</v>
      </c>
      <c r="AN50" s="667">
        <v>407</v>
      </c>
      <c r="AO50" s="580"/>
      <c r="AP50" s="530"/>
      <c r="AQ50" s="530">
        <f t="shared" si="8"/>
        <v>9.9999999999999992E-2</v>
      </c>
      <c r="AR50" s="530">
        <f t="shared" si="9"/>
        <v>699.99999999999989</v>
      </c>
      <c r="AS50" s="491">
        <f t="shared" si="10"/>
        <v>-292.99999999999989</v>
      </c>
      <c r="AT50" s="581"/>
      <c r="AU50" s="581"/>
      <c r="AV50" s="575"/>
      <c r="AW50" s="532"/>
    </row>
    <row r="51" spans="1:49" ht="36" customHeight="1">
      <c r="A51" s="524">
        <v>29</v>
      </c>
      <c r="B51" s="575" t="s">
        <v>3186</v>
      </c>
      <c r="C51" s="576" t="s">
        <v>134</v>
      </c>
      <c r="D51" s="575" t="s">
        <v>101</v>
      </c>
      <c r="E51" s="576" t="s">
        <v>75</v>
      </c>
      <c r="F51" s="576" t="s">
        <v>75</v>
      </c>
      <c r="G51" s="576" t="s">
        <v>75</v>
      </c>
      <c r="H51" s="576" t="s">
        <v>75</v>
      </c>
      <c r="I51" s="576" t="s">
        <v>75</v>
      </c>
      <c r="J51" s="576" t="s">
        <v>75</v>
      </c>
      <c r="K51" s="576" t="s">
        <v>75</v>
      </c>
      <c r="L51" s="576"/>
      <c r="M51" s="576"/>
      <c r="N51" s="576"/>
      <c r="O51" s="576"/>
      <c r="P51" s="532"/>
      <c r="Q51" s="532"/>
      <c r="R51" s="532"/>
      <c r="S51" s="532"/>
      <c r="T51" s="532"/>
      <c r="U51" s="527"/>
      <c r="V51" s="527"/>
      <c r="W51" s="527"/>
      <c r="X51" s="527"/>
      <c r="Y51" s="527"/>
      <c r="Z51" s="527"/>
      <c r="AA51" s="527"/>
      <c r="AB51" s="527"/>
      <c r="AC51" s="527"/>
      <c r="AD51" s="529">
        <v>4</v>
      </c>
      <c r="AE51" s="529"/>
      <c r="AF51" s="529">
        <f t="shared" si="0"/>
        <v>4</v>
      </c>
      <c r="AG51" s="530"/>
      <c r="AH51" s="529"/>
      <c r="AI51" s="579"/>
      <c r="AJ51" s="529"/>
      <c r="AK51" s="530"/>
      <c r="AL51" s="530"/>
      <c r="AM51" s="726">
        <v>0</v>
      </c>
      <c r="AN51" s="667"/>
      <c r="AO51" s="580"/>
      <c r="AP51" s="530"/>
      <c r="AQ51" s="530"/>
      <c r="AR51" s="530"/>
      <c r="AS51" s="530"/>
      <c r="AT51" s="581"/>
      <c r="AU51" s="581"/>
      <c r="AV51" s="575" t="s">
        <v>3244</v>
      </c>
      <c r="AW51" s="532"/>
    </row>
    <row r="52" spans="1:49" s="490" customFormat="1" ht="36" customHeight="1">
      <c r="A52" s="574">
        <v>30</v>
      </c>
      <c r="B52" s="575" t="s">
        <v>3400</v>
      </c>
      <c r="C52" s="576" t="s">
        <v>3336</v>
      </c>
      <c r="D52" s="577" t="s">
        <v>85</v>
      </c>
      <c r="E52" s="655" t="s">
        <v>3242</v>
      </c>
      <c r="F52" s="655" t="s">
        <v>3242</v>
      </c>
      <c r="G52" s="655" t="s">
        <v>3242</v>
      </c>
      <c r="H52" s="655" t="s">
        <v>3242</v>
      </c>
      <c r="I52" s="655" t="s">
        <v>3242</v>
      </c>
      <c r="J52" s="655" t="s">
        <v>3242</v>
      </c>
      <c r="K52" s="655"/>
      <c r="L52" s="655"/>
      <c r="M52" s="655"/>
      <c r="N52" s="655"/>
      <c r="O52" s="655"/>
      <c r="P52" s="655"/>
      <c r="Q52" s="655" t="s">
        <v>3242</v>
      </c>
      <c r="R52" s="655" t="s">
        <v>3242</v>
      </c>
      <c r="S52" s="655"/>
      <c r="T52" s="655"/>
      <c r="U52" s="655"/>
      <c r="V52" s="655"/>
      <c r="W52" s="655"/>
      <c r="X52" s="655"/>
      <c r="Y52" s="655"/>
      <c r="Z52" s="655"/>
      <c r="AA52" s="656">
        <v>235</v>
      </c>
      <c r="AB52" s="656">
        <v>7</v>
      </c>
      <c r="AC52" s="656">
        <f>AA52*AB52</f>
        <v>1645</v>
      </c>
      <c r="AD52" s="492">
        <f>AE52*7</f>
        <v>5264</v>
      </c>
      <c r="AE52" s="492">
        <v>752</v>
      </c>
      <c r="AF52" s="492">
        <f t="shared" si="0"/>
        <v>5018</v>
      </c>
      <c r="AG52" s="492"/>
      <c r="AH52" s="492">
        <f>235*7</f>
        <v>1645</v>
      </c>
      <c r="AI52" s="675">
        <v>0.15</v>
      </c>
      <c r="AJ52" s="492">
        <f>AH52*AI52</f>
        <v>246.75</v>
      </c>
      <c r="AK52" s="491">
        <v>734</v>
      </c>
      <c r="AL52" s="491">
        <f>AK52*7</f>
        <v>5138</v>
      </c>
      <c r="AM52" s="728">
        <v>246</v>
      </c>
      <c r="AN52" s="669">
        <v>164</v>
      </c>
      <c r="AO52" s="550">
        <f>AM52-AN52</f>
        <v>82</v>
      </c>
      <c r="AP52" s="518">
        <f>AO52/AN52</f>
        <v>0.5</v>
      </c>
      <c r="AQ52" s="552">
        <f>AI52-5%</f>
        <v>9.9999999999999992E-2</v>
      </c>
      <c r="AR52" s="551">
        <f>AH52*AQ52</f>
        <v>164.5</v>
      </c>
      <c r="AS52" s="551">
        <f>AN52-AR52</f>
        <v>-0.5</v>
      </c>
      <c r="AT52" s="554"/>
      <c r="AU52" s="554"/>
      <c r="AV52" s="487" t="s">
        <v>3245</v>
      </c>
      <c r="AW52" s="488"/>
    </row>
    <row r="53" spans="1:49" ht="36" customHeight="1">
      <c r="A53" s="574">
        <v>31</v>
      </c>
      <c r="B53" s="575" t="s">
        <v>3462</v>
      </c>
      <c r="C53" s="576" t="s">
        <v>89</v>
      </c>
      <c r="D53" s="577" t="s">
        <v>85</v>
      </c>
      <c r="E53" s="576" t="s">
        <v>75</v>
      </c>
      <c r="F53" s="576" t="s">
        <v>75</v>
      </c>
      <c r="G53" s="576" t="s">
        <v>75</v>
      </c>
      <c r="H53" s="576" t="s">
        <v>75</v>
      </c>
      <c r="I53" s="576" t="s">
        <v>75</v>
      </c>
      <c r="J53" s="576" t="s">
        <v>75</v>
      </c>
      <c r="K53" s="575"/>
      <c r="L53" s="575"/>
      <c r="M53" s="575"/>
      <c r="N53" s="575"/>
      <c r="O53" s="575"/>
      <c r="P53" s="575"/>
      <c r="Q53" s="576" t="s">
        <v>75</v>
      </c>
      <c r="R53" s="576" t="s">
        <v>75</v>
      </c>
      <c r="S53" s="532"/>
      <c r="T53" s="532"/>
      <c r="U53" s="527"/>
      <c r="V53" s="527"/>
      <c r="W53" s="527"/>
      <c r="X53" s="527"/>
      <c r="Y53" s="527"/>
      <c r="Z53" s="527"/>
      <c r="AA53" s="527"/>
      <c r="AB53" s="527"/>
      <c r="AC53" s="527"/>
      <c r="AD53" s="529">
        <f>178.2*7</f>
        <v>1247.3999999999999</v>
      </c>
      <c r="AE53" s="529"/>
      <c r="AF53" s="529">
        <f t="shared" si="0"/>
        <v>1007.9999999999999</v>
      </c>
      <c r="AG53" s="529">
        <v>7.2</v>
      </c>
      <c r="AH53" s="529">
        <f>171*7</f>
        <v>1197</v>
      </c>
      <c r="AI53" s="579">
        <v>0.2</v>
      </c>
      <c r="AJ53" s="529">
        <f>AH53*AI53</f>
        <v>239.4</v>
      </c>
      <c r="AK53" s="530">
        <v>119</v>
      </c>
      <c r="AL53" s="530"/>
      <c r="AM53" s="726">
        <f>AJ53</f>
        <v>239.4</v>
      </c>
      <c r="AN53" s="736">
        <v>180</v>
      </c>
      <c r="AO53" s="580"/>
      <c r="AP53" s="530"/>
      <c r="AQ53" s="530">
        <f>AI53-5%</f>
        <v>0.15000000000000002</v>
      </c>
      <c r="AR53" s="530">
        <f>AH53*AQ53</f>
        <v>179.55000000000004</v>
      </c>
      <c r="AS53" s="530">
        <f>AN53-AR53</f>
        <v>0.44999999999996021</v>
      </c>
      <c r="AT53" s="581"/>
      <c r="AU53" s="581"/>
      <c r="AV53" s="575"/>
      <c r="AW53" s="532"/>
    </row>
    <row r="54" spans="1:49" s="617" customFormat="1" ht="36" customHeight="1">
      <c r="A54" s="609">
        <v>32</v>
      </c>
      <c r="B54" s="610" t="s">
        <v>3394</v>
      </c>
      <c r="C54" s="611" t="s">
        <v>129</v>
      </c>
      <c r="D54" s="612" t="s">
        <v>85</v>
      </c>
      <c r="E54" s="613" t="s">
        <v>75</v>
      </c>
      <c r="F54" s="613" t="s">
        <v>75</v>
      </c>
      <c r="G54" s="613" t="s">
        <v>75</v>
      </c>
      <c r="H54" s="613" t="s">
        <v>75</v>
      </c>
      <c r="I54" s="613" t="s">
        <v>75</v>
      </c>
      <c r="J54" s="613" t="s">
        <v>75</v>
      </c>
      <c r="K54" s="611"/>
      <c r="L54" s="611"/>
      <c r="M54" s="611"/>
      <c r="N54" s="611"/>
      <c r="O54" s="611"/>
      <c r="P54" s="611"/>
      <c r="Q54" s="611" t="s">
        <v>75</v>
      </c>
      <c r="R54" s="611" t="s">
        <v>75</v>
      </c>
      <c r="S54" s="611"/>
      <c r="T54" s="611"/>
      <c r="U54" s="614"/>
      <c r="V54" s="614"/>
      <c r="W54" s="614"/>
      <c r="X54" s="614"/>
      <c r="Y54" s="614"/>
      <c r="Z54" s="614"/>
      <c r="AA54" s="614">
        <v>3224310.2363161198</v>
      </c>
      <c r="AB54" s="614"/>
      <c r="AC54" s="614"/>
      <c r="AD54" s="615">
        <v>1019.37</v>
      </c>
      <c r="AE54" s="615">
        <f>AD54/7.0795</f>
        <v>143.98898227275936</v>
      </c>
      <c r="AF54" s="560">
        <f t="shared" si="0"/>
        <v>676.98</v>
      </c>
      <c r="AG54" s="615">
        <v>0</v>
      </c>
      <c r="AH54" s="615">
        <v>2282.6</v>
      </c>
      <c r="AI54" s="616">
        <v>0.15</v>
      </c>
      <c r="AJ54" s="615">
        <f>AH54*AI54</f>
        <v>342.39</v>
      </c>
      <c r="AK54" s="615">
        <v>119</v>
      </c>
      <c r="AL54" s="530">
        <f t="shared" ref="AL54:AL55" si="12">AK54*7</f>
        <v>833</v>
      </c>
      <c r="AM54" s="729">
        <v>342.39</v>
      </c>
      <c r="AN54" s="669">
        <v>228.25999999999996</v>
      </c>
      <c r="AO54" s="580">
        <f t="shared" ref="AO54:AO55" si="13">AM54-AN54</f>
        <v>114.13000000000002</v>
      </c>
      <c r="AP54" s="530">
        <f t="shared" ref="AP54:AP55" si="14">AO54/AN54</f>
        <v>0.50000000000000022</v>
      </c>
      <c r="AQ54" s="590">
        <f t="shared" ref="AQ54" si="15">AI54-5%</f>
        <v>9.9999999999999992E-2</v>
      </c>
      <c r="AR54" s="587">
        <f t="shared" ref="AR54:AR55" si="16">AH54*AQ54</f>
        <v>228.25999999999996</v>
      </c>
      <c r="AS54" s="587">
        <f t="shared" ref="AS54:AS55" si="17">AN54-AR54</f>
        <v>0</v>
      </c>
      <c r="AT54" s="588"/>
      <c r="AU54" s="588"/>
      <c r="AV54" s="610"/>
      <c r="AW54" s="610" t="s">
        <v>131</v>
      </c>
    </row>
    <row r="55" spans="1:49" ht="36" customHeight="1">
      <c r="A55" s="574">
        <v>33</v>
      </c>
      <c r="B55" s="525" t="s">
        <v>3401</v>
      </c>
      <c r="C55" s="526" t="s">
        <v>129</v>
      </c>
      <c r="D55" s="525" t="s">
        <v>85</v>
      </c>
      <c r="E55" s="576" t="s">
        <v>75</v>
      </c>
      <c r="F55" s="576" t="s">
        <v>75</v>
      </c>
      <c r="G55" s="576" t="s">
        <v>75</v>
      </c>
      <c r="H55" s="576" t="s">
        <v>75</v>
      </c>
      <c r="I55" s="576" t="s">
        <v>75</v>
      </c>
      <c r="J55" s="576" t="s">
        <v>75</v>
      </c>
      <c r="K55" s="532"/>
      <c r="L55" s="532"/>
      <c r="M55" s="532"/>
      <c r="N55" s="532"/>
      <c r="O55" s="532"/>
      <c r="P55" s="532"/>
      <c r="Q55" s="526" t="s">
        <v>75</v>
      </c>
      <c r="R55" s="526" t="s">
        <v>75</v>
      </c>
      <c r="S55" s="532"/>
      <c r="T55" s="532"/>
      <c r="U55" s="527"/>
      <c r="V55" s="527"/>
      <c r="W55" s="527"/>
      <c r="X55" s="527"/>
      <c r="Y55" s="527"/>
      <c r="Z55" s="527"/>
      <c r="AA55" s="582"/>
      <c r="AB55" s="527"/>
      <c r="AC55" s="582"/>
      <c r="AD55" s="529">
        <v>366.6</v>
      </c>
      <c r="AE55" s="529">
        <f>AD55/7.0795</f>
        <v>51.783318030934389</v>
      </c>
      <c r="AF55" s="529">
        <f t="shared" si="0"/>
        <v>2.6000000000000227</v>
      </c>
      <c r="AG55" s="529"/>
      <c r="AH55" s="529">
        <f>52*7</f>
        <v>364</v>
      </c>
      <c r="AI55" s="593">
        <v>1</v>
      </c>
      <c r="AJ55" s="528">
        <f>AH55</f>
        <v>364</v>
      </c>
      <c r="AK55" s="528">
        <v>52</v>
      </c>
      <c r="AL55" s="530">
        <f t="shared" si="12"/>
        <v>364</v>
      </c>
      <c r="AM55" s="726">
        <v>364</v>
      </c>
      <c r="AN55" s="669">
        <v>364</v>
      </c>
      <c r="AO55" s="580">
        <f t="shared" si="13"/>
        <v>0</v>
      </c>
      <c r="AP55" s="530">
        <f t="shared" si="14"/>
        <v>0</v>
      </c>
      <c r="AQ55" s="590">
        <v>1</v>
      </c>
      <c r="AR55" s="587">
        <f t="shared" si="16"/>
        <v>364</v>
      </c>
      <c r="AS55" s="587">
        <f t="shared" si="17"/>
        <v>0</v>
      </c>
      <c r="AT55" s="588"/>
      <c r="AU55" s="588"/>
      <c r="AV55" s="531" t="s">
        <v>3102</v>
      </c>
      <c r="AW55" s="610" t="s">
        <v>149</v>
      </c>
    </row>
    <row r="56" spans="1:49" ht="36" customHeight="1">
      <c r="A56" s="574">
        <v>34</v>
      </c>
      <c r="B56" s="531" t="s">
        <v>3354</v>
      </c>
      <c r="C56" s="526" t="s">
        <v>129</v>
      </c>
      <c r="D56" s="525" t="s">
        <v>104</v>
      </c>
      <c r="E56" s="576" t="s">
        <v>75</v>
      </c>
      <c r="F56" s="576" t="s">
        <v>75</v>
      </c>
      <c r="G56" s="576" t="s">
        <v>75</v>
      </c>
      <c r="H56" s="576" t="s">
        <v>75</v>
      </c>
      <c r="I56" s="576" t="s">
        <v>75</v>
      </c>
      <c r="J56" s="576" t="s">
        <v>75</v>
      </c>
      <c r="K56" s="532"/>
      <c r="L56" s="532"/>
      <c r="M56" s="532"/>
      <c r="N56" s="576" t="s">
        <v>75</v>
      </c>
      <c r="O56" s="532"/>
      <c r="P56" s="532"/>
      <c r="Q56" s="532"/>
      <c r="R56" s="526" t="s">
        <v>75</v>
      </c>
      <c r="S56" s="532"/>
      <c r="T56" s="532"/>
      <c r="U56" s="527"/>
      <c r="V56" s="527"/>
      <c r="W56" s="527"/>
      <c r="X56" s="576" t="s">
        <v>75</v>
      </c>
      <c r="Y56" s="527"/>
      <c r="Z56" s="527"/>
      <c r="AA56" s="527"/>
      <c r="AB56" s="527"/>
      <c r="AC56" s="527"/>
      <c r="AD56" s="530"/>
      <c r="AE56" s="530">
        <v>10</v>
      </c>
      <c r="AF56" s="529">
        <f t="shared" si="0"/>
        <v>0</v>
      </c>
      <c r="AG56" s="530"/>
      <c r="AH56" s="530"/>
      <c r="AI56" s="545"/>
      <c r="AJ56" s="530"/>
      <c r="AK56" s="530"/>
      <c r="AL56" s="530"/>
      <c r="AM56" s="726"/>
      <c r="AN56" s="667"/>
      <c r="AO56" s="580"/>
      <c r="AP56" s="530"/>
      <c r="AQ56" s="530"/>
      <c r="AR56" s="530"/>
      <c r="AS56" s="530"/>
      <c r="AT56" s="581"/>
      <c r="AU56" s="581"/>
      <c r="AV56" s="531" t="s">
        <v>3100</v>
      </c>
      <c r="AW56" s="610" t="s">
        <v>148</v>
      </c>
    </row>
    <row r="57" spans="1:49" ht="36" customHeight="1">
      <c r="A57" s="574">
        <v>34</v>
      </c>
      <c r="B57" s="531" t="s">
        <v>3402</v>
      </c>
      <c r="C57" s="526" t="s">
        <v>129</v>
      </c>
      <c r="D57" s="525" t="s">
        <v>85</v>
      </c>
      <c r="E57" s="576" t="s">
        <v>75</v>
      </c>
      <c r="F57" s="576" t="s">
        <v>75</v>
      </c>
      <c r="G57" s="576" t="s">
        <v>75</v>
      </c>
      <c r="H57" s="576" t="s">
        <v>75</v>
      </c>
      <c r="I57" s="576" t="s">
        <v>75</v>
      </c>
      <c r="J57" s="576" t="s">
        <v>75</v>
      </c>
      <c r="K57" s="532"/>
      <c r="L57" s="532"/>
      <c r="M57" s="532"/>
      <c r="N57" s="532"/>
      <c r="O57" s="532"/>
      <c r="P57" s="532"/>
      <c r="Q57" s="526" t="s">
        <v>75</v>
      </c>
      <c r="R57" s="526" t="s">
        <v>75</v>
      </c>
      <c r="S57" s="532"/>
      <c r="T57" s="532"/>
      <c r="U57" s="527"/>
      <c r="V57" s="527"/>
      <c r="W57" s="527"/>
      <c r="X57" s="527"/>
      <c r="Y57" s="527"/>
      <c r="Z57" s="527"/>
      <c r="AA57" s="582">
        <v>7059998</v>
      </c>
      <c r="AB57" s="527"/>
      <c r="AC57" s="582">
        <f>AA57*7.0795/10000</f>
        <v>4998.1255841000002</v>
      </c>
      <c r="AD57" s="529">
        <f>AE57*7</f>
        <v>4942</v>
      </c>
      <c r="AE57" s="529">
        <v>706</v>
      </c>
      <c r="AF57" s="529">
        <f t="shared" si="0"/>
        <v>0</v>
      </c>
      <c r="AG57" s="529"/>
      <c r="AH57" s="529">
        <v>4942</v>
      </c>
      <c r="AI57" s="593">
        <v>1</v>
      </c>
      <c r="AJ57" s="528">
        <v>4942</v>
      </c>
      <c r="AK57" s="528">
        <v>807</v>
      </c>
      <c r="AL57" s="530">
        <f>AK57*7</f>
        <v>5649</v>
      </c>
      <c r="AM57" s="726">
        <v>4942</v>
      </c>
      <c r="AN57" s="669">
        <v>4942</v>
      </c>
      <c r="AO57" s="580">
        <f>AM57-AN57</f>
        <v>0</v>
      </c>
      <c r="AP57" s="530">
        <f>AO57/AN57</f>
        <v>0</v>
      </c>
      <c r="AQ57" s="590">
        <v>1</v>
      </c>
      <c r="AR57" s="587">
        <f>AH57*AQ57</f>
        <v>4942</v>
      </c>
      <c r="AS57" s="587">
        <f>AN57-AR57</f>
        <v>0</v>
      </c>
      <c r="AT57" s="588"/>
      <c r="AU57" s="588"/>
      <c r="AV57" s="531" t="s">
        <v>3101</v>
      </c>
      <c r="AW57" s="610" t="s">
        <v>148</v>
      </c>
    </row>
    <row r="58" spans="1:49" ht="36" customHeight="1">
      <c r="A58" s="574">
        <v>35</v>
      </c>
      <c r="B58" s="575" t="s">
        <v>152</v>
      </c>
      <c r="C58" s="526" t="s">
        <v>129</v>
      </c>
      <c r="D58" s="575" t="s">
        <v>98</v>
      </c>
      <c r="E58" s="576" t="s">
        <v>75</v>
      </c>
      <c r="F58" s="576" t="s">
        <v>75</v>
      </c>
      <c r="G58" s="576" t="s">
        <v>75</v>
      </c>
      <c r="H58" s="576" t="s">
        <v>75</v>
      </c>
      <c r="I58" s="576" t="s">
        <v>75</v>
      </c>
      <c r="J58" s="576" t="s">
        <v>75</v>
      </c>
      <c r="K58" s="532"/>
      <c r="L58" s="576" t="s">
        <v>75</v>
      </c>
      <c r="M58" s="532"/>
      <c r="N58" s="532"/>
      <c r="O58" s="532"/>
      <c r="P58" s="532"/>
      <c r="Q58" s="532"/>
      <c r="R58" s="526" t="s">
        <v>75</v>
      </c>
      <c r="S58" s="532"/>
      <c r="T58" s="532"/>
      <c r="U58" s="527"/>
      <c r="V58" s="576" t="s">
        <v>75</v>
      </c>
      <c r="W58" s="527"/>
      <c r="X58" s="527"/>
      <c r="Y58" s="527"/>
      <c r="Z58" s="527"/>
      <c r="AA58" s="527"/>
      <c r="AB58" s="527"/>
      <c r="AC58" s="527"/>
      <c r="AD58" s="530">
        <v>30.6</v>
      </c>
      <c r="AE58" s="530"/>
      <c r="AF58" s="529">
        <f t="shared" si="0"/>
        <v>5.860000000000003</v>
      </c>
      <c r="AG58" s="530"/>
      <c r="AH58" s="530"/>
      <c r="AI58" s="545"/>
      <c r="AJ58" s="530"/>
      <c r="AK58" s="530"/>
      <c r="AL58" s="530"/>
      <c r="AM58" s="726">
        <v>24.74</v>
      </c>
      <c r="AN58" s="667"/>
      <c r="AO58" s="580"/>
      <c r="AP58" s="530"/>
      <c r="AQ58" s="530"/>
      <c r="AR58" s="530"/>
      <c r="AS58" s="530"/>
      <c r="AT58" s="581"/>
      <c r="AU58" s="581"/>
      <c r="AV58" s="531"/>
      <c r="AW58" s="610" t="s">
        <v>153</v>
      </c>
    </row>
    <row r="59" spans="1:49" ht="36" customHeight="1">
      <c r="A59" s="574">
        <v>36</v>
      </c>
      <c r="B59" s="575" t="s">
        <v>3468</v>
      </c>
      <c r="C59" s="526" t="s">
        <v>129</v>
      </c>
      <c r="D59" s="525" t="s">
        <v>85</v>
      </c>
      <c r="E59" s="576" t="s">
        <v>75</v>
      </c>
      <c r="F59" s="576" t="s">
        <v>75</v>
      </c>
      <c r="G59" s="576" t="s">
        <v>75</v>
      </c>
      <c r="H59" s="576" t="s">
        <v>75</v>
      </c>
      <c r="I59" s="576" t="s">
        <v>75</v>
      </c>
      <c r="J59" s="576" t="s">
        <v>75</v>
      </c>
      <c r="K59" s="532"/>
      <c r="L59" s="532"/>
      <c r="M59" s="532"/>
      <c r="N59" s="532"/>
      <c r="O59" s="532"/>
      <c r="P59" s="532"/>
      <c r="Q59" s="526" t="s">
        <v>75</v>
      </c>
      <c r="R59" s="526" t="s">
        <v>75</v>
      </c>
      <c r="S59" s="532"/>
      <c r="T59" s="532"/>
      <c r="U59" s="527"/>
      <c r="V59" s="527"/>
      <c r="W59" s="527"/>
      <c r="X59" s="527"/>
      <c r="Y59" s="527"/>
      <c r="Z59" s="527"/>
      <c r="AA59" s="582"/>
      <c r="AB59" s="582"/>
      <c r="AC59" s="618">
        <f>AA59*7.0795/10000</f>
        <v>0</v>
      </c>
      <c r="AD59" s="529">
        <v>2412</v>
      </c>
      <c r="AE59" s="529"/>
      <c r="AF59" s="529">
        <f t="shared" si="0"/>
        <v>1938</v>
      </c>
      <c r="AG59" s="529"/>
      <c r="AH59" s="529">
        <v>2370</v>
      </c>
      <c r="AI59" s="593">
        <v>0.2</v>
      </c>
      <c r="AJ59" s="528">
        <f>AH59*AI59</f>
        <v>474</v>
      </c>
      <c r="AK59" s="528">
        <v>2020</v>
      </c>
      <c r="AL59" s="528"/>
      <c r="AM59" s="727">
        <f>AJ59</f>
        <v>474</v>
      </c>
      <c r="AN59" s="669">
        <v>355.50000000000006</v>
      </c>
      <c r="AO59" s="580">
        <f t="shared" ref="AO59:AO60" si="18">AM59-AN59</f>
        <v>118.49999999999994</v>
      </c>
      <c r="AP59" s="530">
        <f t="shared" ref="AP59:AP60" si="19">AO59/AN59</f>
        <v>0.33333333333333309</v>
      </c>
      <c r="AQ59" s="590">
        <f t="shared" ref="AQ59" si="20">AI59-5%</f>
        <v>0.15000000000000002</v>
      </c>
      <c r="AR59" s="587">
        <f t="shared" ref="AR59:AR60" si="21">AH59*AQ59</f>
        <v>355.50000000000006</v>
      </c>
      <c r="AS59" s="587">
        <f t="shared" ref="AS59:AS60" si="22">AN59-AR59</f>
        <v>0</v>
      </c>
      <c r="AT59" s="588"/>
      <c r="AU59" s="588"/>
      <c r="AV59" s="525"/>
      <c r="AW59" s="610" t="s">
        <v>150</v>
      </c>
    </row>
    <row r="60" spans="1:49" ht="36" customHeight="1">
      <c r="A60" s="574">
        <v>38</v>
      </c>
      <c r="B60" s="575" t="s">
        <v>3403</v>
      </c>
      <c r="C60" s="526" t="s">
        <v>129</v>
      </c>
      <c r="D60" s="598" t="s">
        <v>85</v>
      </c>
      <c r="E60" s="576" t="s">
        <v>75</v>
      </c>
      <c r="F60" s="576" t="s">
        <v>75</v>
      </c>
      <c r="G60" s="576" t="s">
        <v>75</v>
      </c>
      <c r="H60" s="576" t="s">
        <v>75</v>
      </c>
      <c r="I60" s="576" t="s">
        <v>75</v>
      </c>
      <c r="J60" s="576" t="s">
        <v>75</v>
      </c>
      <c r="K60" s="576"/>
      <c r="L60" s="576"/>
      <c r="M60" s="576"/>
      <c r="N60" s="576"/>
      <c r="O60" s="576"/>
      <c r="P60" s="576"/>
      <c r="Q60" s="576"/>
      <c r="R60" s="526" t="s">
        <v>75</v>
      </c>
      <c r="S60" s="576"/>
      <c r="T60" s="576"/>
      <c r="U60" s="582"/>
      <c r="V60" s="582"/>
      <c r="W60" s="582"/>
      <c r="X60" s="582"/>
      <c r="Y60" s="582"/>
      <c r="Z60" s="582"/>
      <c r="AA60" s="582">
        <v>1529446.58971679</v>
      </c>
      <c r="AB60" s="582"/>
      <c r="AC60" s="582">
        <v>1074</v>
      </c>
      <c r="AD60" s="529">
        <v>1074</v>
      </c>
      <c r="AE60" s="529"/>
      <c r="AF60" s="529">
        <f t="shared" si="0"/>
        <v>0</v>
      </c>
      <c r="AG60" s="529"/>
      <c r="AH60" s="529">
        <v>1074</v>
      </c>
      <c r="AI60" s="579">
        <v>1</v>
      </c>
      <c r="AJ60" s="529">
        <f>AD60</f>
        <v>1074</v>
      </c>
      <c r="AK60" s="529">
        <v>647</v>
      </c>
      <c r="AL60" s="529">
        <f>AK60*7</f>
        <v>4529</v>
      </c>
      <c r="AM60" s="728">
        <v>1074</v>
      </c>
      <c r="AN60" s="669">
        <v>1074</v>
      </c>
      <c r="AO60" s="580">
        <f t="shared" si="18"/>
        <v>0</v>
      </c>
      <c r="AP60" s="530">
        <f t="shared" si="19"/>
        <v>0</v>
      </c>
      <c r="AQ60" s="590">
        <v>1</v>
      </c>
      <c r="AR60" s="587">
        <f t="shared" si="21"/>
        <v>1074</v>
      </c>
      <c r="AS60" s="587">
        <f t="shared" si="22"/>
        <v>0</v>
      </c>
      <c r="AT60" s="588"/>
      <c r="AU60" s="588"/>
      <c r="AV60" s="575" t="s">
        <v>3293</v>
      </c>
      <c r="AW60" s="610" t="s">
        <v>156</v>
      </c>
    </row>
    <row r="61" spans="1:49" ht="36" customHeight="1">
      <c r="A61" s="524">
        <v>39</v>
      </c>
      <c r="B61" s="525" t="s">
        <v>145</v>
      </c>
      <c r="C61" s="526" t="s">
        <v>129</v>
      </c>
      <c r="D61" s="525" t="s">
        <v>101</v>
      </c>
      <c r="E61" s="576" t="s">
        <v>75</v>
      </c>
      <c r="F61" s="576" t="s">
        <v>75</v>
      </c>
      <c r="G61" s="576" t="s">
        <v>75</v>
      </c>
      <c r="H61" s="576" t="s">
        <v>75</v>
      </c>
      <c r="I61" s="576" t="s">
        <v>75</v>
      </c>
      <c r="J61" s="576" t="s">
        <v>75</v>
      </c>
      <c r="K61" s="526"/>
      <c r="L61" s="526"/>
      <c r="M61" s="526"/>
      <c r="N61" s="526"/>
      <c r="O61" s="526"/>
      <c r="P61" s="526"/>
      <c r="Q61" s="526"/>
      <c r="R61" s="526" t="s">
        <v>75</v>
      </c>
      <c r="S61" s="526"/>
      <c r="T61" s="526"/>
      <c r="U61" s="586"/>
      <c r="V61" s="586"/>
      <c r="W61" s="586"/>
      <c r="X61" s="586"/>
      <c r="Y61" s="586"/>
      <c r="Z61" s="586"/>
      <c r="AA61" s="586"/>
      <c r="AB61" s="586"/>
      <c r="AC61" s="586"/>
      <c r="AD61" s="528">
        <v>4.9000000000000004</v>
      </c>
      <c r="AE61" s="528"/>
      <c r="AF61" s="529">
        <f t="shared" si="0"/>
        <v>0.30000000000000071</v>
      </c>
      <c r="AG61" s="528"/>
      <c r="AH61" s="528"/>
      <c r="AI61" s="593"/>
      <c r="AJ61" s="528"/>
      <c r="AK61" s="528"/>
      <c r="AL61" s="528"/>
      <c r="AM61" s="727">
        <v>4.5999999999999996</v>
      </c>
      <c r="AN61" s="668"/>
      <c r="AO61" s="605"/>
      <c r="AP61" s="528"/>
      <c r="AQ61" s="528"/>
      <c r="AR61" s="528"/>
      <c r="AS61" s="528"/>
      <c r="AT61" s="606"/>
      <c r="AU61" s="606"/>
      <c r="AV61" s="525"/>
      <c r="AW61" s="610" t="s">
        <v>146</v>
      </c>
    </row>
    <row r="62" spans="1:49" ht="36" customHeight="1">
      <c r="A62" s="524">
        <v>40</v>
      </c>
      <c r="B62" s="525" t="s">
        <v>3355</v>
      </c>
      <c r="C62" s="526" t="s">
        <v>134</v>
      </c>
      <c r="D62" s="525" t="s">
        <v>101</v>
      </c>
      <c r="E62" s="576" t="s">
        <v>75</v>
      </c>
      <c r="F62" s="576" t="s">
        <v>75</v>
      </c>
      <c r="G62" s="576" t="s">
        <v>75</v>
      </c>
      <c r="H62" s="576" t="s">
        <v>75</v>
      </c>
      <c r="I62" s="576" t="s">
        <v>75</v>
      </c>
      <c r="J62" s="576" t="s">
        <v>75</v>
      </c>
      <c r="K62" s="576" t="s">
        <v>75</v>
      </c>
      <c r="L62" s="526"/>
      <c r="M62" s="526"/>
      <c r="N62" s="526"/>
      <c r="O62" s="526"/>
      <c r="P62" s="526"/>
      <c r="Q62" s="526"/>
      <c r="R62" s="526" t="s">
        <v>75</v>
      </c>
      <c r="S62" s="526"/>
      <c r="T62" s="526"/>
      <c r="U62" s="526" t="s">
        <v>75</v>
      </c>
      <c r="V62" s="586"/>
      <c r="W62" s="586"/>
      <c r="X62" s="586"/>
      <c r="Y62" s="586"/>
      <c r="Z62" s="586"/>
      <c r="AA62" s="586"/>
      <c r="AB62" s="586"/>
      <c r="AC62" s="586"/>
      <c r="AD62" s="528">
        <v>1.1000000000000001</v>
      </c>
      <c r="AE62" s="528"/>
      <c r="AF62" s="529">
        <f t="shared" si="0"/>
        <v>0.10000000000000009</v>
      </c>
      <c r="AG62" s="528">
        <v>7.0000000000000007E-2</v>
      </c>
      <c r="AH62" s="528"/>
      <c r="AI62" s="593"/>
      <c r="AJ62" s="528"/>
      <c r="AK62" s="528"/>
      <c r="AL62" s="528"/>
      <c r="AM62" s="727">
        <v>1</v>
      </c>
      <c r="AN62" s="668"/>
      <c r="AO62" s="605"/>
      <c r="AP62" s="528"/>
      <c r="AQ62" s="528"/>
      <c r="AR62" s="528"/>
      <c r="AS62" s="528"/>
      <c r="AT62" s="606"/>
      <c r="AU62" s="606"/>
      <c r="AV62" s="525"/>
      <c r="AW62" s="610" t="s">
        <v>135</v>
      </c>
    </row>
    <row r="63" spans="1:49" ht="36" customHeight="1">
      <c r="A63" s="524">
        <v>40</v>
      </c>
      <c r="B63" s="525" t="s">
        <v>3355</v>
      </c>
      <c r="C63" s="526" t="s">
        <v>134</v>
      </c>
      <c r="D63" s="525" t="s">
        <v>98</v>
      </c>
      <c r="E63" s="576" t="s">
        <v>75</v>
      </c>
      <c r="F63" s="576" t="s">
        <v>75</v>
      </c>
      <c r="G63" s="576" t="s">
        <v>75</v>
      </c>
      <c r="H63" s="576" t="s">
        <v>75</v>
      </c>
      <c r="I63" s="576" t="s">
        <v>75</v>
      </c>
      <c r="J63" s="576" t="s">
        <v>75</v>
      </c>
      <c r="K63" s="526"/>
      <c r="L63" s="576" t="s">
        <v>75</v>
      </c>
      <c r="M63" s="526"/>
      <c r="N63" s="526"/>
      <c r="O63" s="526"/>
      <c r="P63" s="526"/>
      <c r="Q63" s="526"/>
      <c r="R63" s="526" t="s">
        <v>75</v>
      </c>
      <c r="S63" s="526"/>
      <c r="T63" s="526"/>
      <c r="U63" s="586"/>
      <c r="V63" s="576" t="s">
        <v>75</v>
      </c>
      <c r="W63" s="586"/>
      <c r="X63" s="586"/>
      <c r="Y63" s="586"/>
      <c r="Z63" s="586"/>
      <c r="AA63" s="586"/>
      <c r="AB63" s="586"/>
      <c r="AC63" s="586"/>
      <c r="AD63" s="528">
        <v>1</v>
      </c>
      <c r="AE63" s="528"/>
      <c r="AF63" s="529">
        <f t="shared" si="0"/>
        <v>1</v>
      </c>
      <c r="AG63" s="528">
        <v>1</v>
      </c>
      <c r="AH63" s="528"/>
      <c r="AI63" s="593"/>
      <c r="AJ63" s="528"/>
      <c r="AK63" s="528"/>
      <c r="AL63" s="528"/>
      <c r="AM63" s="727"/>
      <c r="AN63" s="668"/>
      <c r="AO63" s="605"/>
      <c r="AP63" s="528"/>
      <c r="AQ63" s="528"/>
      <c r="AR63" s="528"/>
      <c r="AS63" s="528"/>
      <c r="AT63" s="606"/>
      <c r="AU63" s="606"/>
      <c r="AV63" s="525" t="s">
        <v>3091</v>
      </c>
      <c r="AW63" s="610" t="s">
        <v>135</v>
      </c>
    </row>
    <row r="64" spans="1:49" ht="36" customHeight="1">
      <c r="A64" s="524">
        <v>40</v>
      </c>
      <c r="B64" s="525" t="s">
        <v>3423</v>
      </c>
      <c r="C64" s="526" t="s">
        <v>134</v>
      </c>
      <c r="D64" s="525" t="s">
        <v>85</v>
      </c>
      <c r="E64" s="576" t="s">
        <v>75</v>
      </c>
      <c r="F64" s="576" t="s">
        <v>75</v>
      </c>
      <c r="G64" s="576" t="s">
        <v>75</v>
      </c>
      <c r="H64" s="576" t="s">
        <v>75</v>
      </c>
      <c r="I64" s="576" t="s">
        <v>75</v>
      </c>
      <c r="J64" s="576" t="s">
        <v>75</v>
      </c>
      <c r="K64" s="526"/>
      <c r="L64" s="526"/>
      <c r="M64" s="526"/>
      <c r="N64" s="526"/>
      <c r="O64" s="526"/>
      <c r="P64" s="526"/>
      <c r="Q64" s="526" t="s">
        <v>75</v>
      </c>
      <c r="R64" s="526" t="s">
        <v>75</v>
      </c>
      <c r="S64" s="526"/>
      <c r="T64" s="526"/>
      <c r="U64" s="586"/>
      <c r="V64" s="586"/>
      <c r="W64" s="586"/>
      <c r="X64" s="586"/>
      <c r="Y64" s="586"/>
      <c r="Z64" s="586"/>
      <c r="AA64" s="586">
        <f>AC64/7.0795</f>
        <v>1691.4810367963839</v>
      </c>
      <c r="AB64" s="586"/>
      <c r="AC64" s="586">
        <v>11974.84</v>
      </c>
      <c r="AD64" s="528">
        <v>11975</v>
      </c>
      <c r="AE64" s="528"/>
      <c r="AF64" s="529">
        <f t="shared" si="0"/>
        <v>10589</v>
      </c>
      <c r="AG64" s="528"/>
      <c r="AH64" s="528">
        <f>1049*7+4111</f>
        <v>11454</v>
      </c>
      <c r="AI64" s="593">
        <v>0.15</v>
      </c>
      <c r="AJ64" s="528">
        <f>AH64*AI64</f>
        <v>1718.1</v>
      </c>
      <c r="AK64" s="528">
        <v>198</v>
      </c>
      <c r="AL64" s="678">
        <f>AK64*7</f>
        <v>1386</v>
      </c>
      <c r="AM64" s="727">
        <f>AL64</f>
        <v>1386</v>
      </c>
      <c r="AN64" s="668">
        <v>1145.3999999999999</v>
      </c>
      <c r="AO64" s="605"/>
      <c r="AP64" s="528"/>
      <c r="AQ64" s="530">
        <f>AI64-5%</f>
        <v>9.9999999999999992E-2</v>
      </c>
      <c r="AR64" s="530">
        <f>AH64*AQ64</f>
        <v>1145.3999999999999</v>
      </c>
      <c r="AS64" s="491">
        <f>AN64-AR64</f>
        <v>0</v>
      </c>
      <c r="AT64" s="606"/>
      <c r="AU64" s="606"/>
      <c r="AV64" s="525"/>
      <c r="AW64" s="610" t="s">
        <v>135</v>
      </c>
    </row>
    <row r="65" spans="1:49" ht="36" customHeight="1">
      <c r="A65" s="574">
        <v>41</v>
      </c>
      <c r="B65" s="531" t="s">
        <v>3247</v>
      </c>
      <c r="C65" s="603" t="s">
        <v>84</v>
      </c>
      <c r="D65" s="531" t="s">
        <v>101</v>
      </c>
      <c r="E65" s="532" t="s">
        <v>75</v>
      </c>
      <c r="F65" s="532" t="s">
        <v>75</v>
      </c>
      <c r="G65" s="532" t="s">
        <v>75</v>
      </c>
      <c r="H65" s="532" t="s">
        <v>75</v>
      </c>
      <c r="I65" s="532" t="s">
        <v>75</v>
      </c>
      <c r="J65" s="532" t="s">
        <v>3214</v>
      </c>
      <c r="K65" s="532" t="s">
        <v>75</v>
      </c>
      <c r="L65" s="532"/>
      <c r="M65" s="532"/>
      <c r="N65" s="532"/>
      <c r="O65" s="532"/>
      <c r="P65" s="532"/>
      <c r="Q65" s="532"/>
      <c r="R65" s="532" t="s">
        <v>75</v>
      </c>
      <c r="S65" s="532"/>
      <c r="T65" s="532"/>
      <c r="U65" s="532"/>
      <c r="V65" s="532"/>
      <c r="W65" s="532"/>
      <c r="X65" s="532"/>
      <c r="Y65" s="532"/>
      <c r="Z65" s="532"/>
      <c r="AA65" s="527"/>
      <c r="AB65" s="527"/>
      <c r="AC65" s="527"/>
      <c r="AD65" s="619">
        <v>0.6</v>
      </c>
      <c r="AE65" s="530"/>
      <c r="AF65" s="529">
        <f t="shared" si="0"/>
        <v>0</v>
      </c>
      <c r="AG65" s="530"/>
      <c r="AH65" s="530"/>
      <c r="AI65" s="545"/>
      <c r="AJ65" s="530">
        <v>0.6</v>
      </c>
      <c r="AK65" s="530"/>
      <c r="AL65" s="530"/>
      <c r="AM65" s="726">
        <v>0.6</v>
      </c>
      <c r="AN65" s="667">
        <v>1593.9000000000003</v>
      </c>
      <c r="AO65" s="580"/>
      <c r="AP65" s="530"/>
      <c r="AQ65" s="530"/>
      <c r="AR65" s="530"/>
      <c r="AS65" s="530"/>
      <c r="AT65" s="581"/>
      <c r="AU65" s="581"/>
      <c r="AV65" s="577"/>
      <c r="AW65" s="610" t="s">
        <v>3221</v>
      </c>
    </row>
    <row r="66" spans="1:49" ht="36" customHeight="1">
      <c r="A66" s="574">
        <v>41</v>
      </c>
      <c r="B66" s="531" t="s">
        <v>3358</v>
      </c>
      <c r="C66" s="603" t="s">
        <v>84</v>
      </c>
      <c r="D66" s="531" t="s">
        <v>98</v>
      </c>
      <c r="E66" s="532" t="s">
        <v>75</v>
      </c>
      <c r="F66" s="532" t="s">
        <v>75</v>
      </c>
      <c r="G66" s="532" t="s">
        <v>75</v>
      </c>
      <c r="H66" s="532" t="s">
        <v>75</v>
      </c>
      <c r="I66" s="532" t="s">
        <v>75</v>
      </c>
      <c r="J66" s="532" t="s">
        <v>75</v>
      </c>
      <c r="K66" s="532" t="s">
        <v>75</v>
      </c>
      <c r="L66" s="532"/>
      <c r="M66" s="532"/>
      <c r="N66" s="532"/>
      <c r="O66" s="532"/>
      <c r="P66" s="532"/>
      <c r="Q66" s="532"/>
      <c r="R66" s="532" t="s">
        <v>75</v>
      </c>
      <c r="S66" s="532"/>
      <c r="T66" s="532"/>
      <c r="U66" s="532"/>
      <c r="V66" s="532"/>
      <c r="W66" s="532"/>
      <c r="X66" s="532"/>
      <c r="Y66" s="532"/>
      <c r="Z66" s="532"/>
      <c r="AA66" s="527"/>
      <c r="AB66" s="527"/>
      <c r="AC66" s="527"/>
      <c r="AD66" s="528">
        <v>16.8</v>
      </c>
      <c r="AE66" s="530"/>
      <c r="AF66" s="529">
        <f t="shared" ref="AF66:AF129" si="23">AD66-AM66</f>
        <v>2.8000000000000007</v>
      </c>
      <c r="AG66" s="530"/>
      <c r="AH66" s="530"/>
      <c r="AI66" s="545"/>
      <c r="AJ66" s="530">
        <v>14</v>
      </c>
      <c r="AK66" s="530"/>
      <c r="AL66" s="530"/>
      <c r="AM66" s="726">
        <v>14</v>
      </c>
      <c r="AN66" s="667"/>
      <c r="AO66" s="580"/>
      <c r="AP66" s="530"/>
      <c r="AQ66" s="530"/>
      <c r="AR66" s="530"/>
      <c r="AS66" s="530"/>
      <c r="AT66" s="581"/>
      <c r="AU66" s="581"/>
      <c r="AV66" s="525" t="s">
        <v>3311</v>
      </c>
      <c r="AW66" s="610"/>
    </row>
    <row r="67" spans="1:49" ht="36" customHeight="1">
      <c r="A67" s="574">
        <v>41</v>
      </c>
      <c r="B67" s="575" t="s">
        <v>3248</v>
      </c>
      <c r="C67" s="576" t="s">
        <v>84</v>
      </c>
      <c r="D67" s="525" t="s">
        <v>85</v>
      </c>
      <c r="E67" s="576" t="s">
        <v>75</v>
      </c>
      <c r="F67" s="576" t="s">
        <v>75</v>
      </c>
      <c r="G67" s="576" t="s">
        <v>75</v>
      </c>
      <c r="H67" s="576" t="s">
        <v>75</v>
      </c>
      <c r="I67" s="576" t="s">
        <v>75</v>
      </c>
      <c r="J67" s="576" t="s">
        <v>75</v>
      </c>
      <c r="K67" s="589"/>
      <c r="L67" s="589"/>
      <c r="M67" s="589"/>
      <c r="N67" s="589"/>
      <c r="O67" s="589"/>
      <c r="P67" s="589"/>
      <c r="Q67" s="576" t="s">
        <v>75</v>
      </c>
      <c r="R67" s="576" t="s">
        <v>75</v>
      </c>
      <c r="S67" s="589"/>
      <c r="T67" s="589"/>
      <c r="U67" s="600"/>
      <c r="V67" s="600"/>
      <c r="W67" s="600"/>
      <c r="X67" s="600"/>
      <c r="Y67" s="600"/>
      <c r="Z67" s="600"/>
      <c r="AA67" s="600"/>
      <c r="AB67" s="600"/>
      <c r="AC67" s="620">
        <v>1473.77</v>
      </c>
      <c r="AD67" s="529">
        <v>7712</v>
      </c>
      <c r="AE67" s="529"/>
      <c r="AF67" s="529">
        <f t="shared" si="23"/>
        <v>6278</v>
      </c>
      <c r="AG67" s="529"/>
      <c r="AH67" s="529">
        <v>18271</v>
      </c>
      <c r="AI67" s="579">
        <v>0.08</v>
      </c>
      <c r="AJ67" s="529"/>
      <c r="AK67" s="529">
        <v>936</v>
      </c>
      <c r="AL67" s="529"/>
      <c r="AM67" s="726">
        <v>1434</v>
      </c>
      <c r="AN67" s="667">
        <v>478.09700000000004</v>
      </c>
      <c r="AO67" s="580"/>
      <c r="AP67" s="530"/>
      <c r="AQ67" s="545">
        <v>0.05</v>
      </c>
      <c r="AR67" s="530">
        <f>AH67*AQ67</f>
        <v>913.55000000000007</v>
      </c>
      <c r="AS67" s="530"/>
      <c r="AT67" s="581"/>
      <c r="AU67" s="581"/>
      <c r="AV67" s="575"/>
      <c r="AW67" s="610" t="s">
        <v>3310</v>
      </c>
    </row>
    <row r="68" spans="1:49" ht="36" customHeight="1">
      <c r="A68" s="524">
        <v>42</v>
      </c>
      <c r="B68" s="525" t="s">
        <v>3257</v>
      </c>
      <c r="C68" s="526" t="s">
        <v>3326</v>
      </c>
      <c r="D68" s="525" t="s">
        <v>104</v>
      </c>
      <c r="E68" s="576" t="s">
        <v>75</v>
      </c>
      <c r="F68" s="576" t="s">
        <v>75</v>
      </c>
      <c r="G68" s="576" t="s">
        <v>75</v>
      </c>
      <c r="H68" s="576" t="s">
        <v>75</v>
      </c>
      <c r="I68" s="576" t="s">
        <v>75</v>
      </c>
      <c r="J68" s="576" t="s">
        <v>75</v>
      </c>
      <c r="K68" s="526"/>
      <c r="L68" s="526"/>
      <c r="M68" s="526"/>
      <c r="N68" s="576" t="s">
        <v>75</v>
      </c>
      <c r="O68" s="526"/>
      <c r="P68" s="526"/>
      <c r="Q68" s="526"/>
      <c r="R68" s="526" t="s">
        <v>75</v>
      </c>
      <c r="S68" s="526"/>
      <c r="T68" s="526"/>
      <c r="U68" s="586"/>
      <c r="V68" s="586"/>
      <c r="W68" s="586"/>
      <c r="X68" s="576" t="s">
        <v>75</v>
      </c>
      <c r="Y68" s="586"/>
      <c r="Z68" s="586"/>
      <c r="AA68" s="586"/>
      <c r="AB68" s="586"/>
      <c r="AC68" s="586"/>
      <c r="AD68" s="528">
        <v>60</v>
      </c>
      <c r="AE68" s="528"/>
      <c r="AF68" s="529">
        <f t="shared" si="23"/>
        <v>0</v>
      </c>
      <c r="AG68" s="528"/>
      <c r="AH68" s="528"/>
      <c r="AI68" s="593"/>
      <c r="AJ68" s="528">
        <v>60</v>
      </c>
      <c r="AK68" s="528"/>
      <c r="AL68" s="528"/>
      <c r="AM68" s="727">
        <v>60</v>
      </c>
      <c r="AN68" s="668"/>
      <c r="AO68" s="605"/>
      <c r="AP68" s="528"/>
      <c r="AQ68" s="528"/>
      <c r="AR68" s="528"/>
      <c r="AS68" s="528"/>
      <c r="AT68" s="606"/>
      <c r="AU68" s="606"/>
      <c r="AV68" s="525" t="s">
        <v>3098</v>
      </c>
      <c r="AW68" s="610" t="s">
        <v>140</v>
      </c>
    </row>
    <row r="69" spans="1:49" ht="36" customHeight="1">
      <c r="A69" s="524">
        <v>42</v>
      </c>
      <c r="B69" s="525" t="s">
        <v>3324</v>
      </c>
      <c r="C69" s="526" t="s">
        <v>3326</v>
      </c>
      <c r="D69" s="525" t="s">
        <v>105</v>
      </c>
      <c r="E69" s="576" t="s">
        <v>75</v>
      </c>
      <c r="F69" s="576" t="s">
        <v>75</v>
      </c>
      <c r="G69" s="576" t="s">
        <v>75</v>
      </c>
      <c r="H69" s="576" t="s">
        <v>75</v>
      </c>
      <c r="I69" s="576" t="s">
        <v>75</v>
      </c>
      <c r="J69" s="576" t="s">
        <v>75</v>
      </c>
      <c r="K69" s="526"/>
      <c r="L69" s="526"/>
      <c r="M69" s="526"/>
      <c r="N69" s="526"/>
      <c r="O69" s="576" t="s">
        <v>75</v>
      </c>
      <c r="P69" s="526"/>
      <c r="Q69" s="526"/>
      <c r="R69" s="526" t="s">
        <v>75</v>
      </c>
      <c r="S69" s="526"/>
      <c r="T69" s="526"/>
      <c r="U69" s="586"/>
      <c r="V69" s="586"/>
      <c r="W69" s="586"/>
      <c r="X69" s="586"/>
      <c r="Y69" s="576" t="s">
        <v>75</v>
      </c>
      <c r="Z69" s="586"/>
      <c r="AA69" s="586"/>
      <c r="AB69" s="586"/>
      <c r="AC69" s="586"/>
      <c r="AD69" s="528">
        <v>60</v>
      </c>
      <c r="AE69" s="528"/>
      <c r="AF69" s="529">
        <f t="shared" si="23"/>
        <v>0</v>
      </c>
      <c r="AG69" s="528"/>
      <c r="AH69" s="528"/>
      <c r="AI69" s="593"/>
      <c r="AJ69" s="528">
        <v>60</v>
      </c>
      <c r="AK69" s="528"/>
      <c r="AL69" s="528"/>
      <c r="AM69" s="727">
        <v>60</v>
      </c>
      <c r="AN69" s="668"/>
      <c r="AO69" s="605"/>
      <c r="AP69" s="528"/>
      <c r="AQ69" s="528"/>
      <c r="AR69" s="528"/>
      <c r="AS69" s="528"/>
      <c r="AT69" s="606"/>
      <c r="AU69" s="606"/>
      <c r="AV69" s="525"/>
      <c r="AW69" s="610" t="s">
        <v>140</v>
      </c>
    </row>
    <row r="70" spans="1:49" ht="36" customHeight="1">
      <c r="A70" s="524">
        <v>42</v>
      </c>
      <c r="B70" s="525" t="s">
        <v>3404</v>
      </c>
      <c r="C70" s="526" t="s">
        <v>3326</v>
      </c>
      <c r="D70" s="525" t="s">
        <v>85</v>
      </c>
      <c r="E70" s="576" t="s">
        <v>75</v>
      </c>
      <c r="F70" s="576" t="s">
        <v>75</v>
      </c>
      <c r="G70" s="576" t="s">
        <v>75</v>
      </c>
      <c r="H70" s="576" t="s">
        <v>75</v>
      </c>
      <c r="I70" s="576" t="s">
        <v>75</v>
      </c>
      <c r="J70" s="576" t="s">
        <v>75</v>
      </c>
      <c r="K70" s="526"/>
      <c r="L70" s="526"/>
      <c r="M70" s="526"/>
      <c r="N70" s="526"/>
      <c r="O70" s="526"/>
      <c r="P70" s="526"/>
      <c r="Q70" s="526"/>
      <c r="R70" s="526" t="s">
        <v>75</v>
      </c>
      <c r="S70" s="526"/>
      <c r="T70" s="526"/>
      <c r="U70" s="586"/>
      <c r="V70" s="586"/>
      <c r="W70" s="586"/>
      <c r="X70" s="586"/>
      <c r="Y70" s="586"/>
      <c r="Z70" s="586"/>
      <c r="AA70" s="586"/>
      <c r="AB70" s="586"/>
      <c r="AC70" s="586"/>
      <c r="AD70" s="528">
        <v>2302</v>
      </c>
      <c r="AE70" s="528"/>
      <c r="AF70" s="529">
        <f t="shared" si="23"/>
        <v>6</v>
      </c>
      <c r="AG70" s="528"/>
      <c r="AH70" s="528">
        <f>AM70</f>
        <v>2296</v>
      </c>
      <c r="AI70" s="593">
        <v>1</v>
      </c>
      <c r="AJ70" s="528">
        <f>AM70</f>
        <v>2296</v>
      </c>
      <c r="AK70" s="528">
        <v>328</v>
      </c>
      <c r="AL70" s="528">
        <v>2296</v>
      </c>
      <c r="AM70" s="727">
        <v>2296</v>
      </c>
      <c r="AN70" s="669">
        <v>2296</v>
      </c>
      <c r="AO70" s="580">
        <f>AM70-AN70</f>
        <v>0</v>
      </c>
      <c r="AP70" s="530">
        <f>AO70/AN70</f>
        <v>0</v>
      </c>
      <c r="AQ70" s="590">
        <v>1</v>
      </c>
      <c r="AR70" s="587">
        <f>AH70*AQ70</f>
        <v>2296</v>
      </c>
      <c r="AS70" s="587">
        <f>AN70-AR70</f>
        <v>0</v>
      </c>
      <c r="AT70" s="588"/>
      <c r="AU70" s="588"/>
      <c r="AV70" s="525"/>
      <c r="AW70" s="610" t="s">
        <v>140</v>
      </c>
    </row>
    <row r="71" spans="1:49" ht="36" customHeight="1">
      <c r="A71" s="524">
        <v>43</v>
      </c>
      <c r="B71" s="621" t="s">
        <v>3447</v>
      </c>
      <c r="C71" s="603" t="s">
        <v>89</v>
      </c>
      <c r="D71" s="577" t="s">
        <v>85</v>
      </c>
      <c r="E71" s="532" t="s">
        <v>75</v>
      </c>
      <c r="F71" s="532" t="s">
        <v>75</v>
      </c>
      <c r="G71" s="532" t="s">
        <v>75</v>
      </c>
      <c r="H71" s="532" t="s">
        <v>3202</v>
      </c>
      <c r="I71" s="532" t="s">
        <v>75</v>
      </c>
      <c r="J71" s="532" t="s">
        <v>75</v>
      </c>
      <c r="K71" s="532"/>
      <c r="L71" s="532"/>
      <c r="M71" s="532"/>
      <c r="N71" s="532"/>
      <c r="O71" s="532"/>
      <c r="P71" s="532"/>
      <c r="Q71" s="532"/>
      <c r="R71" s="532"/>
      <c r="S71" s="532"/>
      <c r="T71" s="532"/>
      <c r="U71" s="527"/>
      <c r="V71" s="527"/>
      <c r="W71" s="527"/>
      <c r="X71" s="527"/>
      <c r="Y71" s="527"/>
      <c r="Z71" s="527"/>
      <c r="AA71" s="527"/>
      <c r="AB71" s="527"/>
      <c r="AC71" s="527"/>
      <c r="AD71" s="530">
        <v>1225</v>
      </c>
      <c r="AE71" s="530">
        <v>175</v>
      </c>
      <c r="AF71" s="529">
        <f t="shared" si="23"/>
        <v>1103</v>
      </c>
      <c r="AG71" s="529"/>
      <c r="AH71" s="529">
        <v>1225</v>
      </c>
      <c r="AI71" s="579">
        <v>0.1</v>
      </c>
      <c r="AJ71" s="529">
        <f>AH71*AI71</f>
        <v>122.5</v>
      </c>
      <c r="AK71" s="530">
        <v>59</v>
      </c>
      <c r="AL71" s="530">
        <f>AK71*7</f>
        <v>413</v>
      </c>
      <c r="AM71" s="726">
        <v>122</v>
      </c>
      <c r="AN71" s="736">
        <v>61</v>
      </c>
      <c r="AO71" s="580"/>
      <c r="AP71" s="530"/>
      <c r="AQ71" s="530">
        <f>AI71-5%</f>
        <v>0.05</v>
      </c>
      <c r="AR71" s="530">
        <f>AH71*AQ71</f>
        <v>61.25</v>
      </c>
      <c r="AS71" s="530">
        <f>AN71-AR71</f>
        <v>-0.25</v>
      </c>
      <c r="AT71" s="581"/>
      <c r="AU71" s="581"/>
      <c r="AV71" s="585"/>
      <c r="AW71" s="610"/>
    </row>
    <row r="72" spans="1:49" ht="36" customHeight="1">
      <c r="A72" s="524">
        <v>44</v>
      </c>
      <c r="B72" s="610" t="s">
        <v>3424</v>
      </c>
      <c r="C72" s="526" t="s">
        <v>134</v>
      </c>
      <c r="D72" s="525" t="s">
        <v>85</v>
      </c>
      <c r="E72" s="525" t="s">
        <v>75</v>
      </c>
      <c r="F72" s="525" t="s">
        <v>75</v>
      </c>
      <c r="G72" s="525" t="s">
        <v>75</v>
      </c>
      <c r="H72" s="525" t="s">
        <v>75</v>
      </c>
      <c r="I72" s="525" t="s">
        <v>75</v>
      </c>
      <c r="J72" s="525" t="s">
        <v>75</v>
      </c>
      <c r="K72" s="525" t="s">
        <v>75</v>
      </c>
      <c r="L72" s="542"/>
      <c r="M72" s="542"/>
      <c r="N72" s="542"/>
      <c r="O72" s="542"/>
      <c r="P72" s="542"/>
      <c r="Q72" s="525"/>
      <c r="R72" s="525"/>
      <c r="S72" s="542"/>
      <c r="T72" s="542"/>
      <c r="U72" s="543"/>
      <c r="V72" s="544"/>
      <c r="W72" s="544"/>
      <c r="X72" s="544"/>
      <c r="Y72" s="544"/>
      <c r="Z72" s="544"/>
      <c r="AA72" s="527"/>
      <c r="AB72" s="527"/>
      <c r="AC72" s="527"/>
      <c r="AD72" s="528">
        <v>5336</v>
      </c>
      <c r="AE72" s="528"/>
      <c r="AF72" s="529">
        <f t="shared" si="23"/>
        <v>4811</v>
      </c>
      <c r="AG72" s="530"/>
      <c r="AH72" s="530">
        <v>5250</v>
      </c>
      <c r="AI72" s="545">
        <v>0.1</v>
      </c>
      <c r="AJ72" s="528">
        <f>AH72*AI72</f>
        <v>525</v>
      </c>
      <c r="AK72" s="530">
        <v>85</v>
      </c>
      <c r="AL72" s="678">
        <v>595</v>
      </c>
      <c r="AM72" s="726">
        <f>AJ72</f>
        <v>525</v>
      </c>
      <c r="AN72" s="667">
        <v>221</v>
      </c>
      <c r="AO72" s="580"/>
      <c r="AP72" s="530"/>
      <c r="AQ72" s="530">
        <f>AI72-5%</f>
        <v>0.05</v>
      </c>
      <c r="AR72" s="530">
        <f>AH72*AQ72</f>
        <v>262.5</v>
      </c>
      <c r="AS72" s="491">
        <f>AN72-AR72</f>
        <v>-41.5</v>
      </c>
      <c r="AT72" s="581"/>
      <c r="AU72" s="581"/>
      <c r="AV72" s="531" t="s">
        <v>3359</v>
      </c>
      <c r="AW72" s="610"/>
    </row>
    <row r="73" spans="1:49" ht="36" customHeight="1">
      <c r="A73" s="524">
        <v>45</v>
      </c>
      <c r="B73" s="525" t="s">
        <v>3405</v>
      </c>
      <c r="C73" s="526" t="s">
        <v>3326</v>
      </c>
      <c r="D73" s="525" t="s">
        <v>85</v>
      </c>
      <c r="E73" s="576" t="s">
        <v>75</v>
      </c>
      <c r="F73" s="576" t="s">
        <v>75</v>
      </c>
      <c r="G73" s="576" t="s">
        <v>75</v>
      </c>
      <c r="H73" s="576" t="s">
        <v>75</v>
      </c>
      <c r="I73" s="576" t="s">
        <v>75</v>
      </c>
      <c r="J73" s="576" t="s">
        <v>75</v>
      </c>
      <c r="K73" s="526"/>
      <c r="L73" s="526"/>
      <c r="M73" s="526"/>
      <c r="N73" s="526"/>
      <c r="O73" s="526"/>
      <c r="P73" s="526"/>
      <c r="Q73" s="526" t="s">
        <v>75</v>
      </c>
      <c r="R73" s="526" t="s">
        <v>75</v>
      </c>
      <c r="S73" s="526"/>
      <c r="T73" s="526"/>
      <c r="U73" s="586"/>
      <c r="V73" s="586"/>
      <c r="W73" s="586"/>
      <c r="X73" s="586"/>
      <c r="Y73" s="586"/>
      <c r="Z73" s="586"/>
      <c r="AA73" s="586">
        <v>595500</v>
      </c>
      <c r="AB73" s="586"/>
      <c r="AC73" s="586"/>
      <c r="AD73" s="528">
        <v>419.57</v>
      </c>
      <c r="AE73" s="528"/>
      <c r="AF73" s="529">
        <f t="shared" si="23"/>
        <v>92.57</v>
      </c>
      <c r="AG73" s="528">
        <v>91</v>
      </c>
      <c r="AH73" s="528">
        <f>AD73-AG73</f>
        <v>328.57</v>
      </c>
      <c r="AI73" s="593">
        <v>1</v>
      </c>
      <c r="AJ73" s="528">
        <f>AH73</f>
        <v>328.57</v>
      </c>
      <c r="AK73" s="528">
        <v>59</v>
      </c>
      <c r="AL73" s="528">
        <f>AK73*7</f>
        <v>413</v>
      </c>
      <c r="AM73" s="727">
        <v>327</v>
      </c>
      <c r="AN73" s="669">
        <v>328</v>
      </c>
      <c r="AO73" s="580">
        <f>AM73-AN73</f>
        <v>-1</v>
      </c>
      <c r="AP73" s="530">
        <f>AO73/AN73</f>
        <v>-3.0487804878048782E-3</v>
      </c>
      <c r="AQ73" s="590">
        <v>1</v>
      </c>
      <c r="AR73" s="587">
        <f>AH73*AQ73</f>
        <v>328.57</v>
      </c>
      <c r="AS73" s="587">
        <f>AN73-AR73</f>
        <v>-0.56999999999999318</v>
      </c>
      <c r="AT73" s="588"/>
      <c r="AU73" s="588"/>
      <c r="AV73" s="525"/>
      <c r="AW73" s="610" t="s">
        <v>142</v>
      </c>
    </row>
    <row r="74" spans="1:49" ht="36" customHeight="1">
      <c r="A74" s="574">
        <v>46</v>
      </c>
      <c r="B74" s="575" t="s">
        <v>3258</v>
      </c>
      <c r="C74" s="576" t="s">
        <v>3130</v>
      </c>
      <c r="D74" s="575" t="s">
        <v>105</v>
      </c>
      <c r="E74" s="589" t="s">
        <v>3129</v>
      </c>
      <c r="F74" s="589" t="s">
        <v>3129</v>
      </c>
      <c r="G74" s="589" t="s">
        <v>3129</v>
      </c>
      <c r="H74" s="589" t="s">
        <v>3129</v>
      </c>
      <c r="I74" s="589" t="s">
        <v>3129</v>
      </c>
      <c r="J74" s="589" t="s">
        <v>3129</v>
      </c>
      <c r="K74" s="589"/>
      <c r="L74" s="589"/>
      <c r="M74" s="589"/>
      <c r="N74" s="589"/>
      <c r="O74" s="589" t="s">
        <v>3129</v>
      </c>
      <c r="P74" s="589"/>
      <c r="Q74" s="589"/>
      <c r="R74" s="589" t="s">
        <v>3129</v>
      </c>
      <c r="S74" s="589"/>
      <c r="T74" s="589"/>
      <c r="U74" s="527"/>
      <c r="V74" s="527"/>
      <c r="W74" s="527"/>
      <c r="X74" s="527"/>
      <c r="Y74" s="527"/>
      <c r="Z74" s="527"/>
      <c r="AA74" s="527"/>
      <c r="AB74" s="527"/>
      <c r="AC74" s="527"/>
      <c r="AD74" s="529">
        <v>10</v>
      </c>
      <c r="AE74" s="529"/>
      <c r="AF74" s="529">
        <f t="shared" si="23"/>
        <v>0</v>
      </c>
      <c r="AG74" s="529"/>
      <c r="AH74" s="530"/>
      <c r="AI74" s="545"/>
      <c r="AJ74" s="530">
        <v>10</v>
      </c>
      <c r="AK74" s="530"/>
      <c r="AL74" s="530"/>
      <c r="AM74" s="726">
        <v>10</v>
      </c>
      <c r="AN74" s="667"/>
      <c r="AO74" s="580"/>
      <c r="AP74" s="530"/>
      <c r="AQ74" s="530"/>
      <c r="AR74" s="530"/>
      <c r="AS74" s="530"/>
      <c r="AT74" s="581"/>
      <c r="AU74" s="581"/>
      <c r="AV74" s="575"/>
      <c r="AW74" s="610" t="s">
        <v>3259</v>
      </c>
    </row>
    <row r="75" spans="1:49" ht="36" customHeight="1">
      <c r="A75" s="574">
        <v>46</v>
      </c>
      <c r="B75" s="575" t="s">
        <v>3258</v>
      </c>
      <c r="C75" s="576" t="s">
        <v>3130</v>
      </c>
      <c r="D75" s="531" t="s">
        <v>101</v>
      </c>
      <c r="E75" s="589"/>
      <c r="F75" s="589"/>
      <c r="G75" s="589"/>
      <c r="H75" s="589"/>
      <c r="I75" s="589"/>
      <c r="J75" s="589"/>
      <c r="K75" s="589"/>
      <c r="L75" s="589"/>
      <c r="M75" s="589"/>
      <c r="N75" s="589"/>
      <c r="O75" s="589"/>
      <c r="P75" s="589"/>
      <c r="Q75" s="589"/>
      <c r="R75" s="589"/>
      <c r="S75" s="589"/>
      <c r="T75" s="589"/>
      <c r="U75" s="527"/>
      <c r="V75" s="527"/>
      <c r="W75" s="527"/>
      <c r="X75" s="527"/>
      <c r="Y75" s="527"/>
      <c r="Z75" s="527"/>
      <c r="AA75" s="527"/>
      <c r="AB75" s="527"/>
      <c r="AC75" s="527"/>
      <c r="AD75" s="529">
        <v>10.7</v>
      </c>
      <c r="AE75" s="529"/>
      <c r="AF75" s="529">
        <f t="shared" si="23"/>
        <v>10.7</v>
      </c>
      <c r="AG75" s="529"/>
      <c r="AH75" s="530"/>
      <c r="AI75" s="545"/>
      <c r="AJ75" s="530"/>
      <c r="AK75" s="530"/>
      <c r="AL75" s="530"/>
      <c r="AM75" s="726"/>
      <c r="AN75" s="667"/>
      <c r="AO75" s="580"/>
      <c r="AP75" s="530"/>
      <c r="AQ75" s="530"/>
      <c r="AR75" s="530"/>
      <c r="AS75" s="530"/>
      <c r="AT75" s="581"/>
      <c r="AU75" s="581"/>
      <c r="AV75" s="575" t="s">
        <v>3260</v>
      </c>
      <c r="AW75" s="610"/>
    </row>
    <row r="76" spans="1:49" ht="36" customHeight="1">
      <c r="A76" s="574">
        <v>46</v>
      </c>
      <c r="B76" s="575" t="s">
        <v>3406</v>
      </c>
      <c r="C76" s="576" t="s">
        <v>3130</v>
      </c>
      <c r="D76" s="575" t="s">
        <v>85</v>
      </c>
      <c r="E76" s="589" t="s">
        <v>3129</v>
      </c>
      <c r="F76" s="589" t="s">
        <v>3129</v>
      </c>
      <c r="G76" s="589" t="s">
        <v>3129</v>
      </c>
      <c r="H76" s="589" t="s">
        <v>3129</v>
      </c>
      <c r="I76" s="589" t="s">
        <v>3129</v>
      </c>
      <c r="J76" s="589" t="s">
        <v>3129</v>
      </c>
      <c r="K76" s="589"/>
      <c r="L76" s="589"/>
      <c r="M76" s="589"/>
      <c r="N76" s="589"/>
      <c r="O76" s="589"/>
      <c r="P76" s="589"/>
      <c r="Q76" s="589" t="s">
        <v>3129</v>
      </c>
      <c r="R76" s="589" t="s">
        <v>3129</v>
      </c>
      <c r="S76" s="589"/>
      <c r="T76" s="589"/>
      <c r="U76" s="527"/>
      <c r="V76" s="527"/>
      <c r="W76" s="527"/>
      <c r="X76" s="527"/>
      <c r="Y76" s="527"/>
      <c r="Z76" s="527"/>
      <c r="AA76" s="527"/>
      <c r="AB76" s="527"/>
      <c r="AC76" s="527"/>
      <c r="AD76" s="529">
        <v>950.64</v>
      </c>
      <c r="AE76" s="529">
        <v>135.13999999999999</v>
      </c>
      <c r="AF76" s="529">
        <f t="shared" si="23"/>
        <v>760.64</v>
      </c>
      <c r="AG76" s="529"/>
      <c r="AH76" s="530">
        <f>AD76</f>
        <v>950.64</v>
      </c>
      <c r="AI76" s="545">
        <v>0.2</v>
      </c>
      <c r="AJ76" s="530">
        <f>AH76*AI76</f>
        <v>190.12800000000001</v>
      </c>
      <c r="AK76" s="530">
        <v>132</v>
      </c>
      <c r="AL76" s="530">
        <v>924</v>
      </c>
      <c r="AM76" s="726">
        <v>190</v>
      </c>
      <c r="AN76" s="669">
        <v>142</v>
      </c>
      <c r="AO76" s="580">
        <f>AM76-AN76</f>
        <v>48</v>
      </c>
      <c r="AP76" s="530">
        <f>AO76/AN76</f>
        <v>0.3380281690140845</v>
      </c>
      <c r="AQ76" s="590">
        <f>AI76-5%</f>
        <v>0.15000000000000002</v>
      </c>
      <c r="AR76" s="587">
        <f>AH76*AQ76</f>
        <v>142.59600000000003</v>
      </c>
      <c r="AS76" s="587">
        <f>AN76-AR76</f>
        <v>-0.59600000000003206</v>
      </c>
      <c r="AT76" s="588"/>
      <c r="AU76" s="588"/>
      <c r="AV76" s="525"/>
      <c r="AW76" s="610" t="s">
        <v>3259</v>
      </c>
    </row>
    <row r="77" spans="1:49" ht="36" customHeight="1">
      <c r="A77" s="574">
        <v>47</v>
      </c>
      <c r="B77" s="575" t="s">
        <v>3262</v>
      </c>
      <c r="C77" s="576" t="s">
        <v>89</v>
      </c>
      <c r="D77" s="575" t="s">
        <v>99</v>
      </c>
      <c r="E77" s="576" t="s">
        <v>75</v>
      </c>
      <c r="F77" s="576" t="s">
        <v>75</v>
      </c>
      <c r="G77" s="576" t="s">
        <v>75</v>
      </c>
      <c r="H77" s="576" t="s">
        <v>75</v>
      </c>
      <c r="I77" s="576" t="s">
        <v>75</v>
      </c>
      <c r="J77" s="576" t="s">
        <v>75</v>
      </c>
      <c r="K77" s="576"/>
      <c r="L77" s="576"/>
      <c r="M77" s="576" t="s">
        <v>75</v>
      </c>
      <c r="N77" s="576"/>
      <c r="O77" s="576"/>
      <c r="P77" s="576"/>
      <c r="Q77" s="576"/>
      <c r="R77" s="576" t="s">
        <v>75</v>
      </c>
      <c r="S77" s="576"/>
      <c r="T77" s="576"/>
      <c r="U77" s="582"/>
      <c r="V77" s="582"/>
      <c r="W77" s="582"/>
      <c r="X77" s="582">
        <v>9.5839999999999996</v>
      </c>
      <c r="Y77" s="582"/>
      <c r="Z77" s="582"/>
      <c r="AA77" s="582"/>
      <c r="AB77" s="582"/>
      <c r="AC77" s="582"/>
      <c r="AD77" s="529">
        <v>9.5839999999999996</v>
      </c>
      <c r="AE77" s="529"/>
      <c r="AF77" s="529">
        <f t="shared" si="23"/>
        <v>8.3999999999999631E-2</v>
      </c>
      <c r="AG77" s="529">
        <v>9.5</v>
      </c>
      <c r="AH77" s="529"/>
      <c r="AI77" s="579"/>
      <c r="AJ77" s="529">
        <v>9.5</v>
      </c>
      <c r="AK77" s="530"/>
      <c r="AL77" s="530"/>
      <c r="AM77" s="726">
        <v>9.5</v>
      </c>
      <c r="AN77" s="667"/>
      <c r="AO77" s="580"/>
      <c r="AP77" s="530"/>
      <c r="AQ77" s="530"/>
      <c r="AR77" s="530"/>
      <c r="AS77" s="530"/>
      <c r="AT77" s="581"/>
      <c r="AU77" s="581"/>
      <c r="AV77" s="525"/>
      <c r="AW77" s="610"/>
    </row>
    <row r="78" spans="1:49" ht="36" customHeight="1">
      <c r="A78" s="574">
        <v>47</v>
      </c>
      <c r="B78" s="575" t="s">
        <v>3448</v>
      </c>
      <c r="C78" s="576" t="s">
        <v>89</v>
      </c>
      <c r="D78" s="575" t="s">
        <v>85</v>
      </c>
      <c r="E78" s="576" t="s">
        <v>75</v>
      </c>
      <c r="F78" s="576" t="s">
        <v>75</v>
      </c>
      <c r="G78" s="576" t="s">
        <v>75</v>
      </c>
      <c r="H78" s="576" t="s">
        <v>75</v>
      </c>
      <c r="I78" s="576" t="s">
        <v>75</v>
      </c>
      <c r="J78" s="576" t="s">
        <v>75</v>
      </c>
      <c r="K78" s="576"/>
      <c r="L78" s="576"/>
      <c r="M78" s="576"/>
      <c r="N78" s="576"/>
      <c r="O78" s="576"/>
      <c r="P78" s="576"/>
      <c r="Q78" s="576" t="s">
        <v>75</v>
      </c>
      <c r="R78" s="576" t="s">
        <v>75</v>
      </c>
      <c r="S78" s="576"/>
      <c r="T78" s="576"/>
      <c r="U78" s="582"/>
      <c r="V78" s="582"/>
      <c r="W78" s="582"/>
      <c r="X78" s="582"/>
      <c r="Y78" s="582"/>
      <c r="Z78" s="582"/>
      <c r="AA78" s="582"/>
      <c r="AB78" s="582"/>
      <c r="AC78" s="582"/>
      <c r="AD78" s="529">
        <f>AE78*7</f>
        <v>1029</v>
      </c>
      <c r="AE78" s="529">
        <v>147</v>
      </c>
      <c r="AF78" s="529">
        <f t="shared" si="23"/>
        <v>438</v>
      </c>
      <c r="AG78" s="529"/>
      <c r="AH78" s="529">
        <f>845*7</f>
        <v>5915</v>
      </c>
      <c r="AI78" s="579">
        <v>0.1</v>
      </c>
      <c r="AJ78" s="529">
        <f>AH78*AI78</f>
        <v>591.5</v>
      </c>
      <c r="AK78" s="529">
        <v>229</v>
      </c>
      <c r="AL78" s="529">
        <f>AK78*7</f>
        <v>1603</v>
      </c>
      <c r="AM78" s="728">
        <v>591</v>
      </c>
      <c r="AN78" s="736">
        <v>295</v>
      </c>
      <c r="AO78" s="622"/>
      <c r="AP78" s="529"/>
      <c r="AQ78" s="530">
        <f>AI78-5%</f>
        <v>0.05</v>
      </c>
      <c r="AR78" s="530">
        <f>AH78*AQ78</f>
        <v>295.75</v>
      </c>
      <c r="AS78" s="530">
        <f>AN78-AR78</f>
        <v>-0.75</v>
      </c>
      <c r="AT78" s="623"/>
      <c r="AU78" s="623"/>
      <c r="AV78" s="525"/>
      <c r="AW78" s="610"/>
    </row>
    <row r="79" spans="1:49" ht="36" customHeight="1">
      <c r="A79" s="574">
        <v>48</v>
      </c>
      <c r="B79" s="575" t="s">
        <v>3512</v>
      </c>
      <c r="C79" s="576" t="s">
        <v>73</v>
      </c>
      <c r="D79" s="575" t="s">
        <v>85</v>
      </c>
      <c r="E79" s="576" t="s">
        <v>75</v>
      </c>
      <c r="F79" s="576" t="s">
        <v>75</v>
      </c>
      <c r="G79" s="576" t="s">
        <v>75</v>
      </c>
      <c r="H79" s="576" t="s">
        <v>75</v>
      </c>
      <c r="I79" s="576" t="s">
        <v>75</v>
      </c>
      <c r="J79" s="576" t="s">
        <v>75</v>
      </c>
      <c r="K79" s="576"/>
      <c r="L79" s="576"/>
      <c r="M79" s="576"/>
      <c r="N79" s="532"/>
      <c r="O79" s="532"/>
      <c r="P79" s="532"/>
      <c r="Q79" s="532"/>
      <c r="R79" s="532"/>
      <c r="S79" s="532"/>
      <c r="T79" s="532"/>
      <c r="U79" s="527"/>
      <c r="V79" s="527"/>
      <c r="W79" s="527"/>
      <c r="X79" s="527"/>
      <c r="Y79" s="527"/>
      <c r="Z79" s="527"/>
      <c r="AA79" s="527"/>
      <c r="AB79" s="527"/>
      <c r="AC79" s="527"/>
      <c r="AD79" s="530">
        <f>AE79*7</f>
        <v>42672</v>
      </c>
      <c r="AE79" s="530">
        <v>6096</v>
      </c>
      <c r="AF79" s="529">
        <f t="shared" si="23"/>
        <v>31437</v>
      </c>
      <c r="AG79" s="530"/>
      <c r="AH79" s="530">
        <v>133000</v>
      </c>
      <c r="AI79" s="545">
        <v>0.1</v>
      </c>
      <c r="AJ79" s="530">
        <f>AH79*AI79</f>
        <v>13300</v>
      </c>
      <c r="AK79" s="530">
        <v>1605</v>
      </c>
      <c r="AL79" s="530">
        <f>AK79*7</f>
        <v>11235</v>
      </c>
      <c r="AM79" s="726">
        <f>AL79</f>
        <v>11235</v>
      </c>
      <c r="AN79" s="667">
        <v>6650</v>
      </c>
      <c r="AO79" s="580"/>
      <c r="AP79" s="530"/>
      <c r="AQ79" s="530">
        <v>0.05</v>
      </c>
      <c r="AR79" s="530">
        <f>AH79*AQ79</f>
        <v>6650</v>
      </c>
      <c r="AS79" s="530">
        <f>AN79-AR79</f>
        <v>0</v>
      </c>
      <c r="AT79" s="581"/>
      <c r="AU79" s="581"/>
      <c r="AV79" s="604"/>
      <c r="AW79" s="610"/>
    </row>
    <row r="80" spans="1:49" ht="36" customHeight="1">
      <c r="A80" s="524">
        <v>49</v>
      </c>
      <c r="B80" s="525" t="s">
        <v>3360</v>
      </c>
      <c r="C80" s="526" t="s">
        <v>3326</v>
      </c>
      <c r="D80" s="525" t="s">
        <v>104</v>
      </c>
      <c r="E80" s="576" t="s">
        <v>75</v>
      </c>
      <c r="F80" s="576" t="s">
        <v>75</v>
      </c>
      <c r="G80" s="576" t="s">
        <v>75</v>
      </c>
      <c r="H80" s="576" t="s">
        <v>75</v>
      </c>
      <c r="I80" s="576" t="s">
        <v>75</v>
      </c>
      <c r="J80" s="576" t="s">
        <v>75</v>
      </c>
      <c r="K80" s="526"/>
      <c r="L80" s="526"/>
      <c r="M80" s="526"/>
      <c r="N80" s="576" t="s">
        <v>75</v>
      </c>
      <c r="O80" s="526"/>
      <c r="P80" s="526"/>
      <c r="Q80" s="526"/>
      <c r="R80" s="526" t="s">
        <v>75</v>
      </c>
      <c r="S80" s="526"/>
      <c r="T80" s="526"/>
      <c r="U80" s="586"/>
      <c r="V80" s="586"/>
      <c r="W80" s="586"/>
      <c r="X80" s="576" t="s">
        <v>75</v>
      </c>
      <c r="Y80" s="586"/>
      <c r="Z80" s="586"/>
      <c r="AA80" s="586"/>
      <c r="AB80" s="586"/>
      <c r="AC80" s="586"/>
      <c r="AD80" s="528">
        <v>40</v>
      </c>
      <c r="AE80" s="528"/>
      <c r="AF80" s="529">
        <f t="shared" si="23"/>
        <v>10</v>
      </c>
      <c r="AG80" s="530"/>
      <c r="AH80" s="530"/>
      <c r="AI80" s="545"/>
      <c r="AJ80" s="528"/>
      <c r="AK80" s="528"/>
      <c r="AL80" s="528"/>
      <c r="AM80" s="727">
        <v>30</v>
      </c>
      <c r="AN80" s="668"/>
      <c r="AO80" s="605"/>
      <c r="AP80" s="528"/>
      <c r="AQ80" s="528"/>
      <c r="AR80" s="528"/>
      <c r="AS80" s="528"/>
      <c r="AT80" s="606"/>
      <c r="AU80" s="606"/>
      <c r="AV80" s="525"/>
      <c r="AW80" s="610" t="s">
        <v>144</v>
      </c>
    </row>
    <row r="81" spans="1:49" ht="36" customHeight="1">
      <c r="A81" s="524">
        <v>49</v>
      </c>
      <c r="B81" s="525" t="s">
        <v>3407</v>
      </c>
      <c r="C81" s="526" t="s">
        <v>3326</v>
      </c>
      <c r="D81" s="624" t="s">
        <v>3268</v>
      </c>
      <c r="E81" s="576" t="s">
        <v>75</v>
      </c>
      <c r="F81" s="576" t="s">
        <v>75</v>
      </c>
      <c r="G81" s="576" t="s">
        <v>75</v>
      </c>
      <c r="H81" s="576" t="s">
        <v>75</v>
      </c>
      <c r="I81" s="576" t="s">
        <v>75</v>
      </c>
      <c r="J81" s="576" t="s">
        <v>75</v>
      </c>
      <c r="K81" s="625"/>
      <c r="L81" s="625"/>
      <c r="M81" s="625"/>
      <c r="N81" s="625"/>
      <c r="O81" s="625"/>
      <c r="P81" s="625"/>
      <c r="Q81" s="625"/>
      <c r="R81" s="526" t="s">
        <v>75</v>
      </c>
      <c r="S81" s="625"/>
      <c r="T81" s="625"/>
      <c r="U81" s="625"/>
      <c r="V81" s="625"/>
      <c r="W81" s="625"/>
      <c r="X81" s="625"/>
      <c r="Y81" s="625"/>
      <c r="Z81" s="625"/>
      <c r="AA81" s="625"/>
      <c r="AB81" s="625"/>
      <c r="AC81" s="625"/>
      <c r="AD81" s="530">
        <f>AE81*7</f>
        <v>59416</v>
      </c>
      <c r="AE81" s="530">
        <v>8488</v>
      </c>
      <c r="AF81" s="529">
        <f t="shared" si="23"/>
        <v>47532.800000000003</v>
      </c>
      <c r="AG81" s="530"/>
      <c r="AH81" s="530">
        <f>AD81</f>
        <v>59416</v>
      </c>
      <c r="AI81" s="545">
        <v>0.2</v>
      </c>
      <c r="AJ81" s="530">
        <f>AH81*AI81</f>
        <v>11883.2</v>
      </c>
      <c r="AK81" s="530">
        <v>18030</v>
      </c>
      <c r="AL81" s="530">
        <v>126210</v>
      </c>
      <c r="AM81" s="726">
        <f>AJ81</f>
        <v>11883.2</v>
      </c>
      <c r="AN81" s="669">
        <v>6262.1900000000005</v>
      </c>
      <c r="AO81" s="580">
        <f>AM81-AN81</f>
        <v>5621.01</v>
      </c>
      <c r="AP81" s="530">
        <f>AO81/AN81</f>
        <v>0.89761089970122265</v>
      </c>
      <c r="AQ81" s="590">
        <v>0.1</v>
      </c>
      <c r="AR81" s="587">
        <f>AH81*AQ81</f>
        <v>5941.6</v>
      </c>
      <c r="AS81" s="587">
        <f>AN81-AR81</f>
        <v>320.59000000000015</v>
      </c>
      <c r="AT81" s="588"/>
      <c r="AU81" s="588"/>
      <c r="AV81" s="626" t="s">
        <v>3361</v>
      </c>
      <c r="AW81" s="610"/>
    </row>
    <row r="82" spans="1:49" ht="36" customHeight="1">
      <c r="A82" s="574">
        <v>50</v>
      </c>
      <c r="B82" s="575" t="s">
        <v>3196</v>
      </c>
      <c r="C82" s="576" t="s">
        <v>89</v>
      </c>
      <c r="D82" s="575" t="s">
        <v>101</v>
      </c>
      <c r="E82" s="576" t="s">
        <v>75</v>
      </c>
      <c r="F82" s="526" t="s">
        <v>3182</v>
      </c>
      <c r="G82" s="576" t="s">
        <v>75</v>
      </c>
      <c r="H82" s="576" t="s">
        <v>75</v>
      </c>
      <c r="I82" s="576" t="s">
        <v>75</v>
      </c>
      <c r="J82" s="576" t="s">
        <v>75</v>
      </c>
      <c r="K82" s="576" t="s">
        <v>75</v>
      </c>
      <c r="L82" s="576"/>
      <c r="M82" s="576"/>
      <c r="N82" s="576"/>
      <c r="O82" s="576"/>
      <c r="P82" s="576"/>
      <c r="Q82" s="576"/>
      <c r="R82" s="576" t="s">
        <v>75</v>
      </c>
      <c r="S82" s="576"/>
      <c r="T82" s="576"/>
      <c r="U82" s="582" t="s">
        <v>75</v>
      </c>
      <c r="V82" s="582"/>
      <c r="W82" s="582"/>
      <c r="X82" s="582"/>
      <c r="Y82" s="582"/>
      <c r="Z82" s="582"/>
      <c r="AA82" s="582"/>
      <c r="AB82" s="582"/>
      <c r="AC82" s="527"/>
      <c r="AD82" s="529">
        <v>1.9</v>
      </c>
      <c r="AE82" s="529"/>
      <c r="AF82" s="529">
        <f t="shared" si="23"/>
        <v>9.9999999999999867E-2</v>
      </c>
      <c r="AG82" s="530"/>
      <c r="AH82" s="530"/>
      <c r="AI82" s="545"/>
      <c r="AJ82" s="529">
        <v>1.8</v>
      </c>
      <c r="AK82" s="530"/>
      <c r="AL82" s="530"/>
      <c r="AM82" s="726">
        <v>1.8</v>
      </c>
      <c r="AN82" s="667"/>
      <c r="AO82" s="580"/>
      <c r="AP82" s="530"/>
      <c r="AQ82" s="530"/>
      <c r="AR82" s="530"/>
      <c r="AS82" s="530"/>
      <c r="AT82" s="581"/>
      <c r="AU82" s="581"/>
      <c r="AV82" s="531"/>
      <c r="AW82" s="610"/>
    </row>
    <row r="83" spans="1:49" ht="36" customHeight="1">
      <c r="A83" s="574">
        <v>50</v>
      </c>
      <c r="B83" s="575" t="s">
        <v>3196</v>
      </c>
      <c r="C83" s="576" t="s">
        <v>89</v>
      </c>
      <c r="D83" s="575" t="s">
        <v>99</v>
      </c>
      <c r="E83" s="576" t="s">
        <v>75</v>
      </c>
      <c r="F83" s="526" t="s">
        <v>3182</v>
      </c>
      <c r="G83" s="576" t="s">
        <v>75</v>
      </c>
      <c r="H83" s="576" t="s">
        <v>75</v>
      </c>
      <c r="I83" s="576" t="s">
        <v>75</v>
      </c>
      <c r="J83" s="576" t="s">
        <v>75</v>
      </c>
      <c r="K83" s="576"/>
      <c r="L83" s="576"/>
      <c r="M83" s="576" t="s">
        <v>75</v>
      </c>
      <c r="N83" s="576"/>
      <c r="O83" s="576"/>
      <c r="P83" s="576"/>
      <c r="Q83" s="576"/>
      <c r="R83" s="576" t="s">
        <v>75</v>
      </c>
      <c r="S83" s="576"/>
      <c r="T83" s="576"/>
      <c r="U83" s="582"/>
      <c r="V83" s="582"/>
      <c r="W83" s="582" t="s">
        <v>75</v>
      </c>
      <c r="X83" s="582"/>
      <c r="Y83" s="582"/>
      <c r="Z83" s="582"/>
      <c r="AA83" s="582"/>
      <c r="AB83" s="582"/>
      <c r="AC83" s="527"/>
      <c r="AD83" s="529">
        <v>17.190000000000001</v>
      </c>
      <c r="AE83" s="529"/>
      <c r="AF83" s="529">
        <f t="shared" si="23"/>
        <v>0.19000000000000128</v>
      </c>
      <c r="AG83" s="530"/>
      <c r="AH83" s="530"/>
      <c r="AI83" s="545"/>
      <c r="AJ83" s="529">
        <v>17</v>
      </c>
      <c r="AK83" s="530"/>
      <c r="AL83" s="530"/>
      <c r="AM83" s="726">
        <v>17</v>
      </c>
      <c r="AN83" s="667"/>
      <c r="AO83" s="580"/>
      <c r="AP83" s="530"/>
      <c r="AQ83" s="530"/>
      <c r="AR83" s="530"/>
      <c r="AS83" s="530"/>
      <c r="AT83" s="581"/>
      <c r="AU83" s="581"/>
      <c r="AV83" s="531"/>
      <c r="AW83" s="610"/>
    </row>
    <row r="84" spans="1:49" ht="36" customHeight="1">
      <c r="A84" s="574">
        <v>50</v>
      </c>
      <c r="B84" s="575" t="s">
        <v>3449</v>
      </c>
      <c r="C84" s="576" t="s">
        <v>89</v>
      </c>
      <c r="D84" s="575" t="s">
        <v>85</v>
      </c>
      <c r="E84" s="576" t="s">
        <v>75</v>
      </c>
      <c r="F84" s="526" t="s">
        <v>3182</v>
      </c>
      <c r="G84" s="576" t="s">
        <v>75</v>
      </c>
      <c r="H84" s="576" t="s">
        <v>75</v>
      </c>
      <c r="I84" s="576" t="s">
        <v>75</v>
      </c>
      <c r="J84" s="576" t="s">
        <v>75</v>
      </c>
      <c r="K84" s="576"/>
      <c r="L84" s="576"/>
      <c r="M84" s="576"/>
      <c r="N84" s="576"/>
      <c r="O84" s="576"/>
      <c r="P84" s="576"/>
      <c r="Q84" s="576"/>
      <c r="R84" s="576"/>
      <c r="S84" s="576"/>
      <c r="T84" s="576"/>
      <c r="U84" s="582"/>
      <c r="V84" s="582"/>
      <c r="W84" s="582"/>
      <c r="X84" s="582"/>
      <c r="Y84" s="582"/>
      <c r="Z84" s="582"/>
      <c r="AA84" s="582"/>
      <c r="AB84" s="582"/>
      <c r="AC84" s="527"/>
      <c r="AD84" s="529">
        <v>1247</v>
      </c>
      <c r="AE84" s="529">
        <v>177</v>
      </c>
      <c r="AF84" s="529">
        <f t="shared" si="23"/>
        <v>833</v>
      </c>
      <c r="AG84" s="530"/>
      <c r="AH84" s="530">
        <f>592*7</f>
        <v>4144</v>
      </c>
      <c r="AI84" s="545">
        <v>0.1</v>
      </c>
      <c r="AJ84" s="529">
        <f>AH84*AI84</f>
        <v>414.40000000000003</v>
      </c>
      <c r="AK84" s="530">
        <v>335</v>
      </c>
      <c r="AL84" s="530"/>
      <c r="AM84" s="726">
        <v>414</v>
      </c>
      <c r="AN84" s="736">
        <v>207</v>
      </c>
      <c r="AO84" s="580"/>
      <c r="AP84" s="530"/>
      <c r="AQ84" s="530">
        <f>AI84-5%</f>
        <v>0.05</v>
      </c>
      <c r="AR84" s="530">
        <f>AH84*AQ84</f>
        <v>207.20000000000002</v>
      </c>
      <c r="AS84" s="530">
        <f>AN84-AR84</f>
        <v>-0.20000000000001705</v>
      </c>
      <c r="AT84" s="581"/>
      <c r="AU84" s="581"/>
      <c r="AV84" s="531"/>
      <c r="AW84" s="610"/>
    </row>
    <row r="85" spans="1:49" ht="36" customHeight="1">
      <c r="A85" s="574">
        <v>51</v>
      </c>
      <c r="B85" s="575" t="s">
        <v>3287</v>
      </c>
      <c r="C85" s="576" t="s">
        <v>3264</v>
      </c>
      <c r="D85" s="575" t="s">
        <v>98</v>
      </c>
      <c r="E85" s="589" t="s">
        <v>3261</v>
      </c>
      <c r="F85" s="589" t="s">
        <v>3261</v>
      </c>
      <c r="G85" s="589" t="s">
        <v>3261</v>
      </c>
      <c r="H85" s="589" t="s">
        <v>3261</v>
      </c>
      <c r="I85" s="589" t="s">
        <v>3261</v>
      </c>
      <c r="J85" s="589" t="s">
        <v>3261</v>
      </c>
      <c r="K85" s="589"/>
      <c r="L85" s="589" t="s">
        <v>3261</v>
      </c>
      <c r="M85" s="589"/>
      <c r="N85" s="589"/>
      <c r="O85" s="589"/>
      <c r="P85" s="589"/>
      <c r="Q85" s="589" t="s">
        <v>3261</v>
      </c>
      <c r="R85" s="589" t="s">
        <v>3261</v>
      </c>
      <c r="S85" s="589"/>
      <c r="T85" s="589"/>
      <c r="U85" s="527"/>
      <c r="V85" s="527"/>
      <c r="W85" s="527"/>
      <c r="X85" s="527"/>
      <c r="Y85" s="527"/>
      <c r="Z85" s="527"/>
      <c r="AA85" s="527"/>
      <c r="AB85" s="527"/>
      <c r="AC85" s="527"/>
      <c r="AD85" s="529">
        <v>142</v>
      </c>
      <c r="AE85" s="529"/>
      <c r="AF85" s="529">
        <f t="shared" si="23"/>
        <v>0</v>
      </c>
      <c r="AG85" s="529"/>
      <c r="AH85" s="530"/>
      <c r="AI85" s="545"/>
      <c r="AJ85" s="529">
        <v>142</v>
      </c>
      <c r="AK85" s="529"/>
      <c r="AL85" s="530"/>
      <c r="AM85" s="726">
        <v>142</v>
      </c>
      <c r="AN85" s="667"/>
      <c r="AO85" s="580"/>
      <c r="AP85" s="530"/>
      <c r="AQ85" s="530"/>
      <c r="AR85" s="530"/>
      <c r="AS85" s="530"/>
      <c r="AT85" s="581"/>
      <c r="AU85" s="581"/>
      <c r="AV85" s="531"/>
      <c r="AW85" s="610" t="s">
        <v>3288</v>
      </c>
    </row>
    <row r="86" spans="1:49" ht="36" customHeight="1">
      <c r="A86" s="574">
        <v>51</v>
      </c>
      <c r="B86" s="627" t="s">
        <v>3408</v>
      </c>
      <c r="C86" s="576" t="s">
        <v>3264</v>
      </c>
      <c r="D86" s="575" t="s">
        <v>3263</v>
      </c>
      <c r="E86" s="589" t="s">
        <v>3261</v>
      </c>
      <c r="F86" s="589" t="s">
        <v>3261</v>
      </c>
      <c r="G86" s="589" t="s">
        <v>3261</v>
      </c>
      <c r="H86" s="589" t="s">
        <v>3261</v>
      </c>
      <c r="I86" s="589" t="s">
        <v>3261</v>
      </c>
      <c r="J86" s="589" t="s">
        <v>3261</v>
      </c>
      <c r="K86" s="589"/>
      <c r="L86" s="589"/>
      <c r="M86" s="589"/>
      <c r="N86" s="589"/>
      <c r="O86" s="589"/>
      <c r="P86" s="589"/>
      <c r="Q86" s="589" t="s">
        <v>3261</v>
      </c>
      <c r="R86" s="589" t="s">
        <v>3261</v>
      </c>
      <c r="S86" s="589"/>
      <c r="T86" s="589"/>
      <c r="U86" s="527"/>
      <c r="V86" s="527"/>
      <c r="W86" s="527"/>
      <c r="X86" s="527"/>
      <c r="Y86" s="527"/>
      <c r="Z86" s="527"/>
      <c r="AA86" s="527"/>
      <c r="AB86" s="527"/>
      <c r="AC86" s="527"/>
      <c r="AD86" s="529">
        <v>12742.98</v>
      </c>
      <c r="AE86" s="529"/>
      <c r="AF86" s="529">
        <f t="shared" si="23"/>
        <v>16.979999999999563</v>
      </c>
      <c r="AG86" s="529"/>
      <c r="AH86" s="530">
        <f>AM86</f>
        <v>12726</v>
      </c>
      <c r="AI86" s="545">
        <v>1</v>
      </c>
      <c r="AJ86" s="529">
        <v>12742</v>
      </c>
      <c r="AK86" s="529">
        <v>1818</v>
      </c>
      <c r="AL86" s="530">
        <f>AK86*7</f>
        <v>12726</v>
      </c>
      <c r="AM86" s="726">
        <v>12726</v>
      </c>
      <c r="AN86" s="669">
        <v>12726</v>
      </c>
      <c r="AO86" s="580">
        <f t="shared" ref="AO86:AO87" si="24">AM86-AN86</f>
        <v>0</v>
      </c>
      <c r="AP86" s="530">
        <f t="shared" ref="AP86:AP87" si="25">AO86/AN86</f>
        <v>0</v>
      </c>
      <c r="AQ86" s="590">
        <v>1</v>
      </c>
      <c r="AR86" s="587">
        <f t="shared" ref="AR86:AR87" si="26">AH86*AQ86</f>
        <v>12726</v>
      </c>
      <c r="AS86" s="587">
        <f t="shared" ref="AS86:AS87" si="27">AN86-AR86</f>
        <v>0</v>
      </c>
      <c r="AT86" s="588"/>
      <c r="AU86" s="588"/>
      <c r="AV86" s="531"/>
      <c r="AW86" s="610" t="s">
        <v>3288</v>
      </c>
    </row>
    <row r="87" spans="1:49" ht="36" customHeight="1">
      <c r="A87" s="524">
        <v>52</v>
      </c>
      <c r="B87" s="585" t="s">
        <v>3409</v>
      </c>
      <c r="C87" s="582" t="s">
        <v>129</v>
      </c>
      <c r="D87" s="575" t="s">
        <v>3263</v>
      </c>
      <c r="E87" s="582" t="s">
        <v>75</v>
      </c>
      <c r="F87" s="586" t="s">
        <v>3189</v>
      </c>
      <c r="G87" s="586" t="s">
        <v>3190</v>
      </c>
      <c r="H87" s="582" t="s">
        <v>75</v>
      </c>
      <c r="I87" s="582" t="s">
        <v>75</v>
      </c>
      <c r="J87" s="582" t="s">
        <v>75</v>
      </c>
      <c r="K87" s="582" t="s">
        <v>75</v>
      </c>
      <c r="L87" s="582"/>
      <c r="M87" s="582"/>
      <c r="N87" s="582"/>
      <c r="O87" s="582"/>
      <c r="P87" s="532"/>
      <c r="Q87" s="532"/>
      <c r="R87" s="532"/>
      <c r="S87" s="532"/>
      <c r="T87" s="532"/>
      <c r="U87" s="527"/>
      <c r="V87" s="527"/>
      <c r="W87" s="527"/>
      <c r="X87" s="527"/>
      <c r="Y87" s="527"/>
      <c r="Z87" s="527"/>
      <c r="AA87" s="527"/>
      <c r="AB87" s="527"/>
      <c r="AC87" s="527"/>
      <c r="AD87" s="529">
        <v>8713</v>
      </c>
      <c r="AE87" s="529"/>
      <c r="AF87" s="529">
        <f t="shared" si="23"/>
        <v>642</v>
      </c>
      <c r="AG87" s="530"/>
      <c r="AH87" s="530">
        <f>AM87</f>
        <v>8071</v>
      </c>
      <c r="AI87" s="579">
        <v>1</v>
      </c>
      <c r="AJ87" s="529">
        <v>8071</v>
      </c>
      <c r="AK87" s="530">
        <v>1243</v>
      </c>
      <c r="AL87" s="530">
        <f>AK87*7</f>
        <v>8701</v>
      </c>
      <c r="AM87" s="726">
        <v>8071</v>
      </c>
      <c r="AN87" s="669">
        <v>8071</v>
      </c>
      <c r="AO87" s="580">
        <f t="shared" si="24"/>
        <v>0</v>
      </c>
      <c r="AP87" s="530">
        <f t="shared" si="25"/>
        <v>0</v>
      </c>
      <c r="AQ87" s="590">
        <v>1</v>
      </c>
      <c r="AR87" s="587">
        <f t="shared" si="26"/>
        <v>8071</v>
      </c>
      <c r="AS87" s="587">
        <f t="shared" si="27"/>
        <v>0</v>
      </c>
      <c r="AT87" s="588"/>
      <c r="AU87" s="588"/>
      <c r="AV87" s="525" t="s">
        <v>3201</v>
      </c>
      <c r="AW87" s="610"/>
    </row>
    <row r="88" spans="1:49" ht="36" customHeight="1">
      <c r="A88" s="524">
        <v>53</v>
      </c>
      <c r="B88" s="610" t="s">
        <v>3466</v>
      </c>
      <c r="C88" s="576" t="s">
        <v>3323</v>
      </c>
      <c r="D88" s="525" t="s">
        <v>85</v>
      </c>
      <c r="E88" s="525" t="s">
        <v>75</v>
      </c>
      <c r="F88" s="525" t="s">
        <v>75</v>
      </c>
      <c r="G88" s="525" t="s">
        <v>75</v>
      </c>
      <c r="H88" s="525" t="s">
        <v>75</v>
      </c>
      <c r="I88" s="525" t="s">
        <v>75</v>
      </c>
      <c r="J88" s="525" t="s">
        <v>75</v>
      </c>
      <c r="K88" s="542"/>
      <c r="L88" s="542"/>
      <c r="M88" s="542"/>
      <c r="N88" s="542"/>
      <c r="O88" s="542"/>
      <c r="P88" s="542"/>
      <c r="Q88" s="525" t="s">
        <v>75</v>
      </c>
      <c r="R88" s="525" t="s">
        <v>75</v>
      </c>
      <c r="S88" s="542"/>
      <c r="T88" s="542"/>
      <c r="U88" s="628"/>
      <c r="V88" s="544"/>
      <c r="W88" s="544"/>
      <c r="X88" s="544"/>
      <c r="Y88" s="544"/>
      <c r="Z88" s="544"/>
      <c r="AA88" s="527"/>
      <c r="AB88" s="527"/>
      <c r="AC88" s="527"/>
      <c r="AD88" s="528">
        <v>10626</v>
      </c>
      <c r="AE88" s="528">
        <v>2279.6487999999999</v>
      </c>
      <c r="AF88" s="529">
        <f t="shared" si="23"/>
        <v>8500.7999999999993</v>
      </c>
      <c r="AG88" s="528"/>
      <c r="AH88" s="528">
        <v>10626</v>
      </c>
      <c r="AI88" s="593">
        <v>0.2</v>
      </c>
      <c r="AJ88" s="528">
        <f>AH88*AI88</f>
        <v>2125.2000000000003</v>
      </c>
      <c r="AK88" s="530"/>
      <c r="AL88" s="678"/>
      <c r="AM88" s="726">
        <f>AJ88</f>
        <v>2125.2000000000003</v>
      </c>
      <c r="AN88" s="667">
        <v>1593.9000000000003</v>
      </c>
      <c r="AO88" s="580"/>
      <c r="AP88" s="530"/>
      <c r="AQ88" s="530">
        <f>AI88-5%</f>
        <v>0.15000000000000002</v>
      </c>
      <c r="AR88" s="530">
        <f>AH88*AQ88</f>
        <v>1593.9000000000003</v>
      </c>
      <c r="AS88" s="491">
        <f>AN88-AR88</f>
        <v>0</v>
      </c>
      <c r="AT88" s="606"/>
      <c r="AU88" s="581"/>
      <c r="AV88" s="629" t="s">
        <v>3362</v>
      </c>
      <c r="AW88" s="610"/>
    </row>
    <row r="89" spans="1:49" ht="36" customHeight="1">
      <c r="A89" s="574">
        <v>55</v>
      </c>
      <c r="B89" s="575" t="s">
        <v>3271</v>
      </c>
      <c r="C89" s="576" t="s">
        <v>3323</v>
      </c>
      <c r="D89" s="575" t="s">
        <v>98</v>
      </c>
      <c r="E89" s="589" t="s">
        <v>75</v>
      </c>
      <c r="F89" s="589" t="s">
        <v>75</v>
      </c>
      <c r="G89" s="589" t="s">
        <v>75</v>
      </c>
      <c r="H89" s="589" t="s">
        <v>75</v>
      </c>
      <c r="I89" s="589" t="s">
        <v>75</v>
      </c>
      <c r="J89" s="589" t="s">
        <v>75</v>
      </c>
      <c r="K89" s="589"/>
      <c r="L89" s="589" t="s">
        <v>75</v>
      </c>
      <c r="M89" s="589"/>
      <c r="N89" s="589"/>
      <c r="O89" s="589"/>
      <c r="P89" s="589"/>
      <c r="Q89" s="589"/>
      <c r="R89" s="589" t="s">
        <v>75</v>
      </c>
      <c r="S89" s="589"/>
      <c r="T89" s="589"/>
      <c r="U89" s="527"/>
      <c r="V89" s="527"/>
      <c r="W89" s="527"/>
      <c r="X89" s="527"/>
      <c r="Y89" s="527"/>
      <c r="Z89" s="527"/>
      <c r="AA89" s="527"/>
      <c r="AB89" s="527"/>
      <c r="AC89" s="527"/>
      <c r="AD89" s="529">
        <v>9</v>
      </c>
      <c r="AE89" s="529"/>
      <c r="AF89" s="529">
        <f t="shared" si="23"/>
        <v>0</v>
      </c>
      <c r="AG89" s="530"/>
      <c r="AH89" s="530"/>
      <c r="AI89" s="545"/>
      <c r="AJ89" s="529"/>
      <c r="AK89" s="530"/>
      <c r="AL89" s="530"/>
      <c r="AM89" s="726">
        <v>9</v>
      </c>
      <c r="AN89" s="667"/>
      <c r="AO89" s="580"/>
      <c r="AP89" s="530"/>
      <c r="AQ89" s="530"/>
      <c r="AR89" s="530"/>
      <c r="AS89" s="530"/>
      <c r="AT89" s="581"/>
      <c r="AU89" s="581"/>
      <c r="AV89" s="525" t="s">
        <v>3284</v>
      </c>
      <c r="AW89" s="610" t="s">
        <v>3285</v>
      </c>
    </row>
    <row r="90" spans="1:49" ht="36" customHeight="1">
      <c r="A90" s="574">
        <v>55</v>
      </c>
      <c r="B90" s="575" t="s">
        <v>3289</v>
      </c>
      <c r="C90" s="576" t="s">
        <v>3323</v>
      </c>
      <c r="D90" s="575" t="s">
        <v>85</v>
      </c>
      <c r="E90" s="589" t="s">
        <v>75</v>
      </c>
      <c r="F90" s="589" t="s">
        <v>75</v>
      </c>
      <c r="G90" s="589" t="s">
        <v>75</v>
      </c>
      <c r="H90" s="589" t="s">
        <v>75</v>
      </c>
      <c r="I90" s="589" t="s">
        <v>75</v>
      </c>
      <c r="J90" s="589" t="s">
        <v>75</v>
      </c>
      <c r="K90" s="589"/>
      <c r="L90" s="589"/>
      <c r="M90" s="589"/>
      <c r="N90" s="589"/>
      <c r="O90" s="589"/>
      <c r="P90" s="589"/>
      <c r="Q90" s="589" t="s">
        <v>75</v>
      </c>
      <c r="R90" s="589" t="s">
        <v>75</v>
      </c>
      <c r="S90" s="589"/>
      <c r="T90" s="589"/>
      <c r="U90" s="527"/>
      <c r="V90" s="527"/>
      <c r="W90" s="527"/>
      <c r="X90" s="527"/>
      <c r="Y90" s="527"/>
      <c r="Z90" s="527"/>
      <c r="AA90" s="527"/>
      <c r="AB90" s="527"/>
      <c r="AC90" s="527"/>
      <c r="AD90" s="529">
        <v>441</v>
      </c>
      <c r="AE90" s="529">
        <v>63</v>
      </c>
      <c r="AF90" s="529">
        <f t="shared" si="23"/>
        <v>440</v>
      </c>
      <c r="AG90" s="530"/>
      <c r="AH90" s="530"/>
      <c r="AI90" s="545"/>
      <c r="AJ90" s="529"/>
      <c r="AK90" s="530"/>
      <c r="AL90" s="678"/>
      <c r="AM90" s="726">
        <v>1</v>
      </c>
      <c r="AN90" s="667"/>
      <c r="AO90" s="580"/>
      <c r="AP90" s="530"/>
      <c r="AQ90" s="530">
        <f>AI90-5%</f>
        <v>-0.05</v>
      </c>
      <c r="AR90" s="530">
        <f>AH90*AQ90</f>
        <v>0</v>
      </c>
      <c r="AS90" s="530">
        <f>AN90-AR90</f>
        <v>0</v>
      </c>
      <c r="AT90" s="581"/>
      <c r="AU90" s="581"/>
      <c r="AV90" s="575" t="s">
        <v>3286</v>
      </c>
      <c r="AW90" s="610" t="s">
        <v>3285</v>
      </c>
    </row>
    <row r="91" spans="1:49" ht="36" customHeight="1">
      <c r="A91" s="524">
        <v>56</v>
      </c>
      <c r="B91" s="585" t="s">
        <v>3165</v>
      </c>
      <c r="C91" s="582" t="s">
        <v>129</v>
      </c>
      <c r="D91" s="531" t="s">
        <v>101</v>
      </c>
      <c r="E91" s="582" t="s">
        <v>75</v>
      </c>
      <c r="F91" s="582" t="s">
        <v>75</v>
      </c>
      <c r="G91" s="582" t="s">
        <v>75</v>
      </c>
      <c r="H91" s="582" t="s">
        <v>75</v>
      </c>
      <c r="I91" s="582" t="s">
        <v>75</v>
      </c>
      <c r="J91" s="582" t="s">
        <v>75</v>
      </c>
      <c r="K91" s="582" t="s">
        <v>75</v>
      </c>
      <c r="L91" s="582"/>
      <c r="M91" s="582"/>
      <c r="N91" s="582"/>
      <c r="O91" s="582"/>
      <c r="P91" s="582"/>
      <c r="Q91" s="582"/>
      <c r="R91" s="576" t="s">
        <v>75</v>
      </c>
      <c r="S91" s="576"/>
      <c r="T91" s="576"/>
      <c r="U91" s="527"/>
      <c r="V91" s="527"/>
      <c r="W91" s="527"/>
      <c r="X91" s="527"/>
      <c r="Y91" s="527"/>
      <c r="Z91" s="527"/>
      <c r="AA91" s="527"/>
      <c r="AB91" s="527"/>
      <c r="AC91" s="527"/>
      <c r="AD91" s="530">
        <v>3.2</v>
      </c>
      <c r="AE91" s="530"/>
      <c r="AF91" s="529">
        <f t="shared" si="23"/>
        <v>0.20000000000000018</v>
      </c>
      <c r="AG91" s="530"/>
      <c r="AH91" s="530"/>
      <c r="AI91" s="545"/>
      <c r="AJ91" s="530">
        <v>3</v>
      </c>
      <c r="AK91" s="530"/>
      <c r="AL91" s="530"/>
      <c r="AM91" s="726">
        <v>3</v>
      </c>
      <c r="AN91" s="667"/>
      <c r="AO91" s="580"/>
      <c r="AP91" s="530"/>
      <c r="AQ91" s="530"/>
      <c r="AR91" s="530"/>
      <c r="AS91" s="530"/>
      <c r="AT91" s="581"/>
      <c r="AU91" s="581"/>
      <c r="AV91" s="531"/>
      <c r="AW91" s="610"/>
    </row>
    <row r="92" spans="1:49" ht="36" customHeight="1">
      <c r="A92" s="524">
        <v>56</v>
      </c>
      <c r="B92" s="585" t="s">
        <v>3290</v>
      </c>
      <c r="C92" s="582" t="s">
        <v>129</v>
      </c>
      <c r="D92" s="585" t="s">
        <v>98</v>
      </c>
      <c r="E92" s="582" t="s">
        <v>75</v>
      </c>
      <c r="F92" s="582" t="s">
        <v>75</v>
      </c>
      <c r="G92" s="582" t="s">
        <v>75</v>
      </c>
      <c r="H92" s="582" t="s">
        <v>75</v>
      </c>
      <c r="I92" s="582" t="s">
        <v>75</v>
      </c>
      <c r="J92" s="582" t="s">
        <v>75</v>
      </c>
      <c r="K92" s="582"/>
      <c r="L92" s="582" t="s">
        <v>75</v>
      </c>
      <c r="M92" s="582"/>
      <c r="N92" s="582"/>
      <c r="O92" s="582"/>
      <c r="P92" s="582"/>
      <c r="Q92" s="582"/>
      <c r="R92" s="576"/>
      <c r="S92" s="576"/>
      <c r="T92" s="576"/>
      <c r="U92" s="527"/>
      <c r="V92" s="527"/>
      <c r="W92" s="527"/>
      <c r="X92" s="527"/>
      <c r="Y92" s="527"/>
      <c r="Z92" s="527"/>
      <c r="AA92" s="527"/>
      <c r="AB92" s="527"/>
      <c r="AC92" s="527"/>
      <c r="AD92" s="530">
        <v>22</v>
      </c>
      <c r="AE92" s="530"/>
      <c r="AF92" s="529">
        <f t="shared" si="23"/>
        <v>15.9</v>
      </c>
      <c r="AG92" s="530"/>
      <c r="AH92" s="530"/>
      <c r="AI92" s="545"/>
      <c r="AJ92" s="530">
        <v>22</v>
      </c>
      <c r="AK92" s="530"/>
      <c r="AL92" s="530"/>
      <c r="AM92" s="726">
        <v>6.1</v>
      </c>
      <c r="AN92" s="667"/>
      <c r="AO92" s="580"/>
      <c r="AP92" s="530"/>
      <c r="AQ92" s="530"/>
      <c r="AR92" s="530"/>
      <c r="AS92" s="530"/>
      <c r="AT92" s="581"/>
      <c r="AU92" s="581"/>
      <c r="AV92" s="531"/>
      <c r="AW92" s="610"/>
    </row>
    <row r="93" spans="1:49" ht="36" customHeight="1">
      <c r="A93" s="574">
        <v>57</v>
      </c>
      <c r="B93" s="575" t="s">
        <v>3272</v>
      </c>
      <c r="C93" s="576" t="s">
        <v>129</v>
      </c>
      <c r="D93" s="525" t="s">
        <v>101</v>
      </c>
      <c r="E93" s="532" t="s">
        <v>75</v>
      </c>
      <c r="F93" s="532" t="s">
        <v>75</v>
      </c>
      <c r="G93" s="532" t="s">
        <v>75</v>
      </c>
      <c r="H93" s="532" t="s">
        <v>75</v>
      </c>
      <c r="I93" s="532" t="s">
        <v>75</v>
      </c>
      <c r="J93" s="532" t="s">
        <v>75</v>
      </c>
      <c r="K93" s="576" t="s">
        <v>75</v>
      </c>
      <c r="L93" s="532"/>
      <c r="M93" s="532"/>
      <c r="N93" s="532"/>
      <c r="O93" s="532"/>
      <c r="P93" s="532"/>
      <c r="Q93" s="532"/>
      <c r="R93" s="526" t="s">
        <v>75</v>
      </c>
      <c r="S93" s="532"/>
      <c r="T93" s="532"/>
      <c r="U93" s="527"/>
      <c r="V93" s="527"/>
      <c r="W93" s="527"/>
      <c r="X93" s="527"/>
      <c r="Y93" s="527"/>
      <c r="Z93" s="527"/>
      <c r="AA93" s="527"/>
      <c r="AB93" s="527"/>
      <c r="AC93" s="527"/>
      <c r="AD93" s="530">
        <v>11</v>
      </c>
      <c r="AE93" s="530"/>
      <c r="AF93" s="529">
        <f t="shared" si="23"/>
        <v>2.5</v>
      </c>
      <c r="AG93" s="530"/>
      <c r="AH93" s="530"/>
      <c r="AI93" s="545"/>
      <c r="AJ93" s="530">
        <v>8.5</v>
      </c>
      <c r="AK93" s="530"/>
      <c r="AL93" s="530"/>
      <c r="AM93" s="726">
        <v>8.5</v>
      </c>
      <c r="AN93" s="667"/>
      <c r="AO93" s="580"/>
      <c r="AP93" s="530"/>
      <c r="AQ93" s="530"/>
      <c r="AR93" s="530"/>
      <c r="AS93" s="530"/>
      <c r="AT93" s="581"/>
      <c r="AU93" s="581"/>
      <c r="AV93" s="577" t="s">
        <v>3276</v>
      </c>
      <c r="AW93" s="610" t="s">
        <v>3277</v>
      </c>
    </row>
    <row r="94" spans="1:49" ht="36" customHeight="1">
      <c r="A94" s="574">
        <v>57</v>
      </c>
      <c r="B94" s="575" t="s">
        <v>3272</v>
      </c>
      <c r="C94" s="576" t="s">
        <v>129</v>
      </c>
      <c r="D94" s="575" t="s">
        <v>98</v>
      </c>
      <c r="E94" s="532" t="s">
        <v>75</v>
      </c>
      <c r="F94" s="532" t="s">
        <v>75</v>
      </c>
      <c r="G94" s="532" t="s">
        <v>75</v>
      </c>
      <c r="H94" s="532" t="s">
        <v>75</v>
      </c>
      <c r="I94" s="532" t="s">
        <v>75</v>
      </c>
      <c r="J94" s="532" t="s">
        <v>75</v>
      </c>
      <c r="K94" s="532"/>
      <c r="L94" s="576" t="s">
        <v>75</v>
      </c>
      <c r="M94" s="532"/>
      <c r="N94" s="532"/>
      <c r="O94" s="532"/>
      <c r="P94" s="532"/>
      <c r="Q94" s="532"/>
      <c r="R94" s="526" t="s">
        <v>75</v>
      </c>
      <c r="S94" s="532"/>
      <c r="T94" s="532"/>
      <c r="U94" s="527"/>
      <c r="V94" s="527"/>
      <c r="W94" s="527"/>
      <c r="X94" s="527"/>
      <c r="Y94" s="527"/>
      <c r="Z94" s="527"/>
      <c r="AA94" s="527"/>
      <c r="AB94" s="527"/>
      <c r="AC94" s="527"/>
      <c r="AD94" s="530">
        <v>70</v>
      </c>
      <c r="AE94" s="530"/>
      <c r="AF94" s="529">
        <f t="shared" si="23"/>
        <v>0</v>
      </c>
      <c r="AG94" s="530"/>
      <c r="AH94" s="530"/>
      <c r="AI94" s="545"/>
      <c r="AJ94" s="530">
        <v>70</v>
      </c>
      <c r="AK94" s="530"/>
      <c r="AL94" s="530"/>
      <c r="AM94" s="726">
        <v>70</v>
      </c>
      <c r="AN94" s="667"/>
      <c r="AO94" s="580"/>
      <c r="AP94" s="530"/>
      <c r="AQ94" s="530"/>
      <c r="AR94" s="530"/>
      <c r="AS94" s="530"/>
      <c r="AT94" s="581"/>
      <c r="AU94" s="581"/>
      <c r="AV94" s="577"/>
      <c r="AW94" s="610" t="s">
        <v>3273</v>
      </c>
    </row>
    <row r="95" spans="1:49" ht="36" customHeight="1">
      <c r="A95" s="574">
        <v>57</v>
      </c>
      <c r="B95" s="575" t="s">
        <v>3410</v>
      </c>
      <c r="C95" s="576" t="s">
        <v>129</v>
      </c>
      <c r="D95" s="598" t="s">
        <v>85</v>
      </c>
      <c r="E95" s="532" t="s">
        <v>75</v>
      </c>
      <c r="F95" s="532" t="s">
        <v>75</v>
      </c>
      <c r="G95" s="532" t="s">
        <v>75</v>
      </c>
      <c r="H95" s="532" t="s">
        <v>75</v>
      </c>
      <c r="I95" s="532" t="s">
        <v>75</v>
      </c>
      <c r="J95" s="532" t="s">
        <v>75</v>
      </c>
      <c r="K95" s="532"/>
      <c r="L95" s="532"/>
      <c r="M95" s="532"/>
      <c r="N95" s="532"/>
      <c r="O95" s="532"/>
      <c r="P95" s="532"/>
      <c r="Q95" s="576" t="s">
        <v>75</v>
      </c>
      <c r="R95" s="526" t="s">
        <v>75</v>
      </c>
      <c r="S95" s="532"/>
      <c r="T95" s="532"/>
      <c r="U95" s="527"/>
      <c r="V95" s="527"/>
      <c r="W95" s="527"/>
      <c r="X95" s="527"/>
      <c r="Y95" s="527"/>
      <c r="Z95" s="527"/>
      <c r="AA95" s="527"/>
      <c r="AB95" s="527"/>
      <c r="AC95" s="527"/>
      <c r="AD95" s="530">
        <f>9235*0.1</f>
        <v>923.5</v>
      </c>
      <c r="AE95" s="530"/>
      <c r="AF95" s="529">
        <f t="shared" si="23"/>
        <v>-461.75</v>
      </c>
      <c r="AG95" s="530"/>
      <c r="AH95" s="530">
        <v>9235</v>
      </c>
      <c r="AI95" s="545">
        <v>0.15</v>
      </c>
      <c r="AJ95" s="530">
        <f>AH95*AI95</f>
        <v>1385.25</v>
      </c>
      <c r="AK95" s="530">
        <v>769</v>
      </c>
      <c r="AL95" s="530">
        <v>5383</v>
      </c>
      <c r="AM95" s="726">
        <f>AJ95</f>
        <v>1385.25</v>
      </c>
      <c r="AN95" s="669">
        <v>923</v>
      </c>
      <c r="AO95" s="580">
        <f>AM95-AN95</f>
        <v>462.25</v>
      </c>
      <c r="AP95" s="530">
        <f>AO95/AN95</f>
        <v>0.5008125677139762</v>
      </c>
      <c r="AQ95" s="590">
        <v>0.1</v>
      </c>
      <c r="AR95" s="587">
        <f>AH95*AQ95</f>
        <v>923.5</v>
      </c>
      <c r="AS95" s="587">
        <f>AN95-AR95</f>
        <v>-0.5</v>
      </c>
      <c r="AT95" s="588"/>
      <c r="AU95" s="588"/>
      <c r="AV95" s="525" t="s">
        <v>3278</v>
      </c>
      <c r="AW95" s="610" t="s">
        <v>3273</v>
      </c>
    </row>
    <row r="96" spans="1:49" ht="36" customHeight="1">
      <c r="A96" s="574">
        <v>58</v>
      </c>
      <c r="B96" s="575" t="s">
        <v>3374</v>
      </c>
      <c r="C96" s="526" t="s">
        <v>134</v>
      </c>
      <c r="D96" s="525" t="s">
        <v>101</v>
      </c>
      <c r="E96" s="525" t="s">
        <v>75</v>
      </c>
      <c r="F96" s="525" t="s">
        <v>75</v>
      </c>
      <c r="G96" s="525" t="s">
        <v>75</v>
      </c>
      <c r="H96" s="525" t="s">
        <v>75</v>
      </c>
      <c r="I96" s="525" t="s">
        <v>75</v>
      </c>
      <c r="J96" s="607" t="s">
        <v>75</v>
      </c>
      <c r="K96" s="525" t="s">
        <v>75</v>
      </c>
      <c r="L96" s="525"/>
      <c r="M96" s="525"/>
      <c r="N96" s="525"/>
      <c r="O96" s="525"/>
      <c r="P96" s="525"/>
      <c r="Q96" s="525" t="s">
        <v>75</v>
      </c>
      <c r="R96" s="525" t="s">
        <v>75</v>
      </c>
      <c r="S96" s="525"/>
      <c r="T96" s="525"/>
      <c r="U96" s="527"/>
      <c r="V96" s="527"/>
      <c r="W96" s="527"/>
      <c r="X96" s="527"/>
      <c r="Y96" s="527"/>
      <c r="Z96" s="527"/>
      <c r="AA96" s="527"/>
      <c r="AB96" s="527"/>
      <c r="AC96" s="527"/>
      <c r="AD96" s="528">
        <v>0.8</v>
      </c>
      <c r="AE96" s="528"/>
      <c r="AF96" s="529">
        <f t="shared" si="23"/>
        <v>0.10000000000000009</v>
      </c>
      <c r="AG96" s="530"/>
      <c r="AH96" s="530"/>
      <c r="AI96" s="545"/>
      <c r="AJ96" s="528"/>
      <c r="AK96" s="530"/>
      <c r="AL96" s="530"/>
      <c r="AM96" s="726">
        <v>0.7</v>
      </c>
      <c r="AN96" s="667"/>
      <c r="AO96" s="580"/>
      <c r="AP96" s="530"/>
      <c r="AQ96" s="530"/>
      <c r="AR96" s="530"/>
      <c r="AS96" s="530"/>
      <c r="AT96" s="581"/>
      <c r="AU96" s="581"/>
      <c r="AV96" s="525" t="s">
        <v>3291</v>
      </c>
      <c r="AW96" s="610" t="s">
        <v>3275</v>
      </c>
    </row>
    <row r="97" spans="1:49" ht="36" customHeight="1">
      <c r="A97" s="574">
        <v>58</v>
      </c>
      <c r="B97" s="575" t="s">
        <v>3425</v>
      </c>
      <c r="C97" s="526" t="s">
        <v>134</v>
      </c>
      <c r="D97" s="575" t="s">
        <v>85</v>
      </c>
      <c r="E97" s="525" t="s">
        <v>75</v>
      </c>
      <c r="F97" s="525" t="s">
        <v>75</v>
      </c>
      <c r="G97" s="525" t="s">
        <v>75</v>
      </c>
      <c r="H97" s="525" t="s">
        <v>75</v>
      </c>
      <c r="I97" s="525" t="s">
        <v>75</v>
      </c>
      <c r="J97" s="589" t="s">
        <v>3255</v>
      </c>
      <c r="K97" s="589"/>
      <c r="L97" s="589"/>
      <c r="M97" s="589"/>
      <c r="N97" s="589"/>
      <c r="O97" s="589"/>
      <c r="P97" s="589"/>
      <c r="Q97" s="589"/>
      <c r="R97" s="589"/>
      <c r="S97" s="589"/>
      <c r="T97" s="589"/>
      <c r="U97" s="527"/>
      <c r="V97" s="527"/>
      <c r="W97" s="527"/>
      <c r="X97" s="527"/>
      <c r="Y97" s="527"/>
      <c r="Z97" s="527"/>
      <c r="AA97" s="527"/>
      <c r="AB97" s="527"/>
      <c r="AC97" s="527"/>
      <c r="AD97" s="529">
        <v>540</v>
      </c>
      <c r="AE97" s="529"/>
      <c r="AF97" s="529">
        <f t="shared" si="23"/>
        <v>270</v>
      </c>
      <c r="AG97" s="530"/>
      <c r="AH97" s="665">
        <v>2700</v>
      </c>
      <c r="AI97" s="545">
        <v>0.1</v>
      </c>
      <c r="AJ97" s="529">
        <v>270</v>
      </c>
      <c r="AK97" s="530">
        <v>89</v>
      </c>
      <c r="AL97" s="678">
        <v>623</v>
      </c>
      <c r="AM97" s="726">
        <f>AJ97</f>
        <v>270</v>
      </c>
      <c r="AN97" s="667">
        <v>27</v>
      </c>
      <c r="AO97" s="580"/>
      <c r="AP97" s="530"/>
      <c r="AQ97" s="530">
        <f>AI97-5%</f>
        <v>0.05</v>
      </c>
      <c r="AR97" s="530">
        <f>AH97*AQ97</f>
        <v>135</v>
      </c>
      <c r="AS97" s="530">
        <f>AN97-AR97</f>
        <v>-108</v>
      </c>
      <c r="AT97" s="581"/>
      <c r="AU97" s="581"/>
      <c r="AV97" s="575"/>
      <c r="AW97" s="610" t="s">
        <v>3275</v>
      </c>
    </row>
    <row r="98" spans="1:49" ht="36" customHeight="1">
      <c r="A98" s="574">
        <v>59</v>
      </c>
      <c r="B98" s="575" t="s">
        <v>3364</v>
      </c>
      <c r="C98" s="576" t="s">
        <v>3241</v>
      </c>
      <c r="D98" s="575" t="s">
        <v>101</v>
      </c>
      <c r="E98" s="589" t="s">
        <v>3242</v>
      </c>
      <c r="F98" s="589" t="s">
        <v>3242</v>
      </c>
      <c r="G98" s="589" t="s">
        <v>3242</v>
      </c>
      <c r="H98" s="589" t="s">
        <v>3242</v>
      </c>
      <c r="I98" s="589" t="s">
        <v>3242</v>
      </c>
      <c r="J98" s="589" t="s">
        <v>3249</v>
      </c>
      <c r="K98" s="589" t="s">
        <v>75</v>
      </c>
      <c r="L98" s="589"/>
      <c r="M98" s="589"/>
      <c r="N98" s="589"/>
      <c r="O98" s="589"/>
      <c r="P98" s="589"/>
      <c r="Q98" s="589"/>
      <c r="R98" s="589" t="s">
        <v>75</v>
      </c>
      <c r="S98" s="589"/>
      <c r="T98" s="589"/>
      <c r="U98" s="527"/>
      <c r="V98" s="527"/>
      <c r="W98" s="527"/>
      <c r="X98" s="527"/>
      <c r="Y98" s="527"/>
      <c r="Z98" s="527"/>
      <c r="AA98" s="527"/>
      <c r="AB98" s="527"/>
      <c r="AC98" s="527"/>
      <c r="AD98" s="529">
        <v>2.6</v>
      </c>
      <c r="AE98" s="529"/>
      <c r="AF98" s="529">
        <f t="shared" si="23"/>
        <v>0.14999999999999991</v>
      </c>
      <c r="AG98" s="529"/>
      <c r="AH98" s="530"/>
      <c r="AI98" s="545"/>
      <c r="AJ98" s="529">
        <v>2.4500000000000002</v>
      </c>
      <c r="AK98" s="528"/>
      <c r="AL98" s="529"/>
      <c r="AM98" s="727">
        <v>2.4500000000000002</v>
      </c>
      <c r="AN98" s="668"/>
      <c r="AO98" s="605"/>
      <c r="AP98" s="528"/>
      <c r="AQ98" s="528"/>
      <c r="AR98" s="528"/>
      <c r="AS98" s="528"/>
      <c r="AT98" s="606"/>
      <c r="AU98" s="606"/>
      <c r="AV98" s="525" t="s">
        <v>3292</v>
      </c>
      <c r="AW98" s="610" t="s">
        <v>3250</v>
      </c>
    </row>
    <row r="99" spans="1:49" ht="36" customHeight="1">
      <c r="A99" s="574">
        <v>59</v>
      </c>
      <c r="B99" s="575" t="s">
        <v>3319</v>
      </c>
      <c r="C99" s="576" t="s">
        <v>3241</v>
      </c>
      <c r="D99" s="575" t="s">
        <v>98</v>
      </c>
      <c r="E99" s="589" t="s">
        <v>3242</v>
      </c>
      <c r="F99" s="589" t="s">
        <v>3242</v>
      </c>
      <c r="G99" s="589" t="s">
        <v>3242</v>
      </c>
      <c r="H99" s="589" t="s">
        <v>3242</v>
      </c>
      <c r="I99" s="589" t="s">
        <v>3242</v>
      </c>
      <c r="J99" s="589" t="s">
        <v>3249</v>
      </c>
      <c r="K99" s="589"/>
      <c r="L99" s="589"/>
      <c r="M99" s="589"/>
      <c r="N99" s="589"/>
      <c r="O99" s="589"/>
      <c r="P99" s="589"/>
      <c r="Q99" s="589"/>
      <c r="R99" s="589"/>
      <c r="S99" s="589"/>
      <c r="T99" s="589"/>
      <c r="U99" s="527"/>
      <c r="V99" s="527"/>
      <c r="W99" s="527"/>
      <c r="X99" s="527"/>
      <c r="Y99" s="527"/>
      <c r="Z99" s="527"/>
      <c r="AA99" s="527"/>
      <c r="AB99" s="527"/>
      <c r="AC99" s="527"/>
      <c r="AD99" s="529">
        <v>8.5500000000000007</v>
      </c>
      <c r="AE99" s="529"/>
      <c r="AF99" s="529">
        <f t="shared" si="23"/>
        <v>0.55000000000000071</v>
      </c>
      <c r="AG99" s="529"/>
      <c r="AH99" s="530"/>
      <c r="AI99" s="545"/>
      <c r="AJ99" s="529">
        <v>8</v>
      </c>
      <c r="AK99" s="529"/>
      <c r="AL99" s="529"/>
      <c r="AM99" s="728">
        <v>8</v>
      </c>
      <c r="AN99" s="670"/>
      <c r="AO99" s="622"/>
      <c r="AP99" s="529"/>
      <c r="AQ99" s="529"/>
      <c r="AR99" s="529"/>
      <c r="AS99" s="529"/>
      <c r="AT99" s="623"/>
      <c r="AU99" s="623"/>
      <c r="AV99" s="525" t="s">
        <v>3292</v>
      </c>
      <c r="AW99" s="610"/>
    </row>
    <row r="100" spans="1:49" s="490" customFormat="1" ht="36" customHeight="1">
      <c r="A100" s="574">
        <v>59</v>
      </c>
      <c r="B100" s="575" t="s">
        <v>3411</v>
      </c>
      <c r="C100" s="576" t="s">
        <v>3241</v>
      </c>
      <c r="D100" s="575" t="s">
        <v>85</v>
      </c>
      <c r="E100" s="589" t="s">
        <v>3242</v>
      </c>
      <c r="F100" s="589" t="s">
        <v>3242</v>
      </c>
      <c r="G100" s="589" t="s">
        <v>3242</v>
      </c>
      <c r="H100" s="589" t="s">
        <v>3242</v>
      </c>
      <c r="I100" s="589" t="s">
        <v>3242</v>
      </c>
      <c r="J100" s="589" t="s">
        <v>3242</v>
      </c>
      <c r="K100" s="589"/>
      <c r="L100" s="589"/>
      <c r="M100" s="589"/>
      <c r="N100" s="589"/>
      <c r="O100" s="589"/>
      <c r="P100" s="589"/>
      <c r="Q100" s="589" t="s">
        <v>3242</v>
      </c>
      <c r="R100" s="589"/>
      <c r="S100" s="589"/>
      <c r="T100" s="589"/>
      <c r="U100" s="527"/>
      <c r="V100" s="527"/>
      <c r="W100" s="527"/>
      <c r="X100" s="527"/>
      <c r="Y100" s="527"/>
      <c r="Z100" s="527"/>
      <c r="AA100" s="527"/>
      <c r="AB100" s="527"/>
      <c r="AC100" s="527"/>
      <c r="AD100" s="529">
        <v>4203</v>
      </c>
      <c r="AE100" s="529"/>
      <c r="AF100" s="529">
        <f t="shared" si="23"/>
        <v>591</v>
      </c>
      <c r="AG100" s="529"/>
      <c r="AH100" s="491">
        <f>AM100</f>
        <v>3612</v>
      </c>
      <c r="AI100" s="517">
        <v>1</v>
      </c>
      <c r="AJ100" s="492">
        <f>AH100</f>
        <v>3612</v>
      </c>
      <c r="AK100" s="491">
        <v>516</v>
      </c>
      <c r="AL100" s="491">
        <f>AK100*7</f>
        <v>3612</v>
      </c>
      <c r="AM100" s="727">
        <v>3612</v>
      </c>
      <c r="AN100" s="669">
        <v>3612</v>
      </c>
      <c r="AO100" s="580">
        <f>AM100-AN100</f>
        <v>0</v>
      </c>
      <c r="AP100" s="530">
        <f>AO100/AN100</f>
        <v>0</v>
      </c>
      <c r="AQ100" s="552">
        <v>1</v>
      </c>
      <c r="AR100" s="551">
        <f>AH100*AQ100</f>
        <v>3612</v>
      </c>
      <c r="AS100" s="551">
        <f>AN100-AR100</f>
        <v>0</v>
      </c>
      <c r="AT100" s="554"/>
      <c r="AU100" s="554"/>
      <c r="AV100" s="489" t="s">
        <v>3251</v>
      </c>
      <c r="AW100" s="610"/>
    </row>
    <row r="101" spans="1:49" ht="36" customHeight="1">
      <c r="A101" s="524">
        <v>60</v>
      </c>
      <c r="B101" s="575" t="s">
        <v>3294</v>
      </c>
      <c r="C101" s="576" t="s">
        <v>3157</v>
      </c>
      <c r="D101" s="575" t="s">
        <v>3153</v>
      </c>
      <c r="E101" s="576" t="s">
        <v>75</v>
      </c>
      <c r="F101" s="576" t="s">
        <v>75</v>
      </c>
      <c r="G101" s="576" t="s">
        <v>75</v>
      </c>
      <c r="H101" s="576" t="s">
        <v>75</v>
      </c>
      <c r="I101" s="576" t="s">
        <v>75</v>
      </c>
      <c r="J101" s="576" t="s">
        <v>3161</v>
      </c>
      <c r="K101" s="576" t="s">
        <v>3154</v>
      </c>
      <c r="L101" s="576"/>
      <c r="M101" s="576"/>
      <c r="N101" s="576"/>
      <c r="O101" s="576"/>
      <c r="P101" s="576"/>
      <c r="Q101" s="576"/>
      <c r="R101" s="576" t="s">
        <v>3154</v>
      </c>
      <c r="S101" s="576"/>
      <c r="T101" s="576"/>
      <c r="U101" s="576">
        <v>1.89</v>
      </c>
      <c r="V101" s="576"/>
      <c r="W101" s="576"/>
      <c r="X101" s="576"/>
      <c r="Y101" s="576"/>
      <c r="Z101" s="576"/>
      <c r="AA101" s="576"/>
      <c r="AB101" s="576"/>
      <c r="AC101" s="576">
        <v>1.89</v>
      </c>
      <c r="AD101" s="530">
        <v>17.3</v>
      </c>
      <c r="AE101" s="529"/>
      <c r="AF101" s="529">
        <f t="shared" si="23"/>
        <v>15.5</v>
      </c>
      <c r="AG101" s="529"/>
      <c r="AH101" s="529"/>
      <c r="AI101" s="579"/>
      <c r="AJ101" s="529">
        <v>1.8</v>
      </c>
      <c r="AK101" s="530"/>
      <c r="AL101" s="530"/>
      <c r="AM101" s="726">
        <v>1.8</v>
      </c>
      <c r="AN101" s="667"/>
      <c r="AO101" s="580"/>
      <c r="AP101" s="530"/>
      <c r="AQ101" s="530"/>
      <c r="AR101" s="530"/>
      <c r="AS101" s="530"/>
      <c r="AT101" s="581"/>
      <c r="AU101" s="581"/>
      <c r="AV101" s="525" t="s">
        <v>3295</v>
      </c>
      <c r="AW101" s="610" t="s">
        <v>3177</v>
      </c>
    </row>
    <row r="102" spans="1:49" ht="36" customHeight="1">
      <c r="A102" s="524">
        <v>60</v>
      </c>
      <c r="B102" s="575" t="s">
        <v>3176</v>
      </c>
      <c r="C102" s="576" t="s">
        <v>3157</v>
      </c>
      <c r="D102" s="575" t="s">
        <v>3160</v>
      </c>
      <c r="E102" s="576" t="s">
        <v>75</v>
      </c>
      <c r="F102" s="576" t="s">
        <v>75</v>
      </c>
      <c r="G102" s="576" t="s">
        <v>75</v>
      </c>
      <c r="H102" s="576" t="s">
        <v>75</v>
      </c>
      <c r="I102" s="576" t="s">
        <v>75</v>
      </c>
      <c r="J102" s="576" t="s">
        <v>3161</v>
      </c>
      <c r="K102" s="576"/>
      <c r="L102" s="526"/>
      <c r="M102" s="576"/>
      <c r="N102" s="576"/>
      <c r="O102" s="576"/>
      <c r="P102" s="576"/>
      <c r="Q102" s="576"/>
      <c r="R102" s="576" t="s">
        <v>3154</v>
      </c>
      <c r="S102" s="576"/>
      <c r="T102" s="576"/>
      <c r="U102" s="576"/>
      <c r="V102" s="576"/>
      <c r="W102" s="576"/>
      <c r="X102" s="576"/>
      <c r="Y102" s="576"/>
      <c r="Z102" s="576"/>
      <c r="AA102" s="576"/>
      <c r="AB102" s="576"/>
      <c r="AC102" s="576">
        <v>6</v>
      </c>
      <c r="AD102" s="529">
        <v>2.4</v>
      </c>
      <c r="AE102" s="529"/>
      <c r="AF102" s="529">
        <f t="shared" si="23"/>
        <v>2.4</v>
      </c>
      <c r="AG102" s="529"/>
      <c r="AH102" s="529"/>
      <c r="AI102" s="579"/>
      <c r="AJ102" s="530"/>
      <c r="AK102" s="530"/>
      <c r="AL102" s="530"/>
      <c r="AM102" s="726"/>
      <c r="AN102" s="667"/>
      <c r="AO102" s="580"/>
      <c r="AP102" s="530"/>
      <c r="AQ102" s="530"/>
      <c r="AR102" s="530"/>
      <c r="AS102" s="530"/>
      <c r="AT102" s="581"/>
      <c r="AU102" s="581"/>
      <c r="AV102" s="525" t="s">
        <v>3178</v>
      </c>
      <c r="AW102" s="610" t="s">
        <v>3179</v>
      </c>
    </row>
    <row r="103" spans="1:49" ht="36" customHeight="1">
      <c r="A103" s="524">
        <v>60</v>
      </c>
      <c r="B103" s="575" t="s">
        <v>3412</v>
      </c>
      <c r="C103" s="576" t="s">
        <v>3157</v>
      </c>
      <c r="D103" s="575" t="s">
        <v>3156</v>
      </c>
      <c r="E103" s="576" t="s">
        <v>75</v>
      </c>
      <c r="F103" s="576" t="s">
        <v>75</v>
      </c>
      <c r="G103" s="576" t="s">
        <v>75</v>
      </c>
      <c r="H103" s="576" t="s">
        <v>75</v>
      </c>
      <c r="I103" s="576" t="s">
        <v>75</v>
      </c>
      <c r="J103" s="576" t="s">
        <v>75</v>
      </c>
      <c r="K103" s="576"/>
      <c r="L103" s="576"/>
      <c r="M103" s="576"/>
      <c r="N103" s="576"/>
      <c r="O103" s="576"/>
      <c r="P103" s="576"/>
      <c r="Q103" s="576"/>
      <c r="R103" s="576" t="s">
        <v>3154</v>
      </c>
      <c r="S103" s="576"/>
      <c r="T103" s="576"/>
      <c r="U103" s="576"/>
      <c r="V103" s="576"/>
      <c r="W103" s="576"/>
      <c r="X103" s="576"/>
      <c r="Y103" s="576"/>
      <c r="Z103" s="576"/>
      <c r="AA103" s="576"/>
      <c r="AB103" s="576"/>
      <c r="AC103" s="576">
        <v>2976.19</v>
      </c>
      <c r="AD103" s="529">
        <v>2976.19</v>
      </c>
      <c r="AE103" s="529"/>
      <c r="AF103" s="529">
        <f t="shared" si="23"/>
        <v>351.19000000000005</v>
      </c>
      <c r="AG103" s="529">
        <v>2976.19</v>
      </c>
      <c r="AH103" s="529">
        <f>AJ103</f>
        <v>2976</v>
      </c>
      <c r="AI103" s="579">
        <v>1</v>
      </c>
      <c r="AJ103" s="529">
        <v>2976</v>
      </c>
      <c r="AK103" s="530">
        <v>375</v>
      </c>
      <c r="AL103" s="530">
        <f>AK103*7</f>
        <v>2625</v>
      </c>
      <c r="AM103" s="726">
        <v>2625</v>
      </c>
      <c r="AN103" s="669">
        <v>2625</v>
      </c>
      <c r="AO103" s="580">
        <f>AM103-AN103</f>
        <v>0</v>
      </c>
      <c r="AP103" s="530">
        <f>AO103/AN103</f>
        <v>0</v>
      </c>
      <c r="AQ103" s="590">
        <v>1</v>
      </c>
      <c r="AR103" s="587">
        <f>AH103*AQ103</f>
        <v>2976</v>
      </c>
      <c r="AS103" s="676">
        <f>AN103-AR103</f>
        <v>-351</v>
      </c>
      <c r="AT103" s="588"/>
      <c r="AU103" s="588"/>
      <c r="AV103" s="575" t="s">
        <v>3296</v>
      </c>
      <c r="AW103" s="610" t="s">
        <v>3180</v>
      </c>
    </row>
    <row r="104" spans="1:49" ht="36" customHeight="1">
      <c r="A104" s="524">
        <v>61</v>
      </c>
      <c r="B104" s="740" t="s">
        <v>3450</v>
      </c>
      <c r="C104" s="576" t="s">
        <v>3166</v>
      </c>
      <c r="D104" s="525" t="s">
        <v>85</v>
      </c>
      <c r="E104" s="576" t="s">
        <v>3154</v>
      </c>
      <c r="F104" s="576" t="s">
        <v>3167</v>
      </c>
      <c r="G104" s="576" t="s">
        <v>3154</v>
      </c>
      <c r="H104" s="576" t="s">
        <v>3154</v>
      </c>
      <c r="I104" s="576" t="s">
        <v>3154</v>
      </c>
      <c r="J104" s="576" t="s">
        <v>3168</v>
      </c>
      <c r="K104" s="576"/>
      <c r="L104" s="576"/>
      <c r="M104" s="576"/>
      <c r="N104" s="576"/>
      <c r="O104" s="576"/>
      <c r="P104" s="576"/>
      <c r="Q104" s="576"/>
      <c r="R104" s="576"/>
      <c r="S104" s="576"/>
      <c r="T104" s="576"/>
      <c r="U104" s="527"/>
      <c r="V104" s="527"/>
      <c r="W104" s="527"/>
      <c r="X104" s="527"/>
      <c r="Y104" s="527"/>
      <c r="Z104" s="527"/>
      <c r="AA104" s="527"/>
      <c r="AB104" s="527"/>
      <c r="AC104" s="527"/>
      <c r="AD104" s="530">
        <f>AE104*7</f>
        <v>1225</v>
      </c>
      <c r="AE104" s="530">
        <v>175</v>
      </c>
      <c r="AF104" s="529">
        <f t="shared" si="23"/>
        <v>980</v>
      </c>
      <c r="AG104" s="530"/>
      <c r="AH104" s="530">
        <f>AD104</f>
        <v>1225</v>
      </c>
      <c r="AI104" s="545">
        <v>0.2</v>
      </c>
      <c r="AJ104" s="530">
        <f>AH104*AI104</f>
        <v>245</v>
      </c>
      <c r="AK104" s="530">
        <v>114</v>
      </c>
      <c r="AL104" s="530">
        <f>AK104*7</f>
        <v>798</v>
      </c>
      <c r="AM104" s="726">
        <v>245</v>
      </c>
      <c r="AN104" s="736">
        <v>183</v>
      </c>
      <c r="AO104" s="580"/>
      <c r="AP104" s="530"/>
      <c r="AQ104" s="530">
        <f>AI104-5%</f>
        <v>0.15000000000000002</v>
      </c>
      <c r="AR104" s="530">
        <f>AH104*AQ104</f>
        <v>183.75000000000003</v>
      </c>
      <c r="AS104" s="530">
        <f>AN104-AR104</f>
        <v>-0.75000000000002842</v>
      </c>
      <c r="AT104" s="581"/>
      <c r="AU104" s="581"/>
      <c r="AV104" s="531"/>
      <c r="AW104" s="610"/>
    </row>
    <row r="105" spans="1:49" ht="36" customHeight="1">
      <c r="A105" s="524">
        <v>62</v>
      </c>
      <c r="B105" s="575" t="s">
        <v>3375</v>
      </c>
      <c r="C105" s="576" t="s">
        <v>3172</v>
      </c>
      <c r="D105" s="575" t="s">
        <v>3153</v>
      </c>
      <c r="E105" s="576" t="s">
        <v>75</v>
      </c>
      <c r="F105" s="576" t="s">
        <v>75</v>
      </c>
      <c r="G105" s="576" t="s">
        <v>75</v>
      </c>
      <c r="H105" s="576" t="s">
        <v>75</v>
      </c>
      <c r="I105" s="576" t="s">
        <v>75</v>
      </c>
      <c r="J105" s="576" t="s">
        <v>3161</v>
      </c>
      <c r="K105" s="576" t="s">
        <v>75</v>
      </c>
      <c r="L105" s="576"/>
      <c r="M105" s="576"/>
      <c r="N105" s="576"/>
      <c r="O105" s="576"/>
      <c r="P105" s="576"/>
      <c r="Q105" s="576"/>
      <c r="R105" s="576" t="s">
        <v>3154</v>
      </c>
      <c r="S105" s="576"/>
      <c r="T105" s="576"/>
      <c r="U105" s="576">
        <v>0.85</v>
      </c>
      <c r="V105" s="576"/>
      <c r="W105" s="576"/>
      <c r="X105" s="576"/>
      <c r="Y105" s="576"/>
      <c r="Z105" s="576"/>
      <c r="AA105" s="576"/>
      <c r="AB105" s="576"/>
      <c r="AC105" s="576"/>
      <c r="AD105" s="529">
        <v>0.9</v>
      </c>
      <c r="AE105" s="530"/>
      <c r="AF105" s="529">
        <f t="shared" si="23"/>
        <v>9.9999999999999978E-2</v>
      </c>
      <c r="AG105" s="529"/>
      <c r="AH105" s="529"/>
      <c r="AI105" s="579"/>
      <c r="AJ105" s="530"/>
      <c r="AK105" s="528"/>
      <c r="AL105" s="530"/>
      <c r="AM105" s="730">
        <v>0.8</v>
      </c>
      <c r="AN105" s="737"/>
      <c r="AO105" s="631"/>
      <c r="AP105" s="630"/>
      <c r="AQ105" s="630"/>
      <c r="AR105" s="630"/>
      <c r="AS105" s="630"/>
      <c r="AT105" s="632"/>
      <c r="AU105" s="632"/>
      <c r="AV105" s="525" t="s">
        <v>3173</v>
      </c>
      <c r="AW105" s="610" t="s">
        <v>3174</v>
      </c>
    </row>
    <row r="106" spans="1:49" ht="36" customHeight="1">
      <c r="A106" s="524">
        <v>62</v>
      </c>
      <c r="B106" s="575" t="s">
        <v>3426</v>
      </c>
      <c r="C106" s="576" t="s">
        <v>3172</v>
      </c>
      <c r="D106" s="575" t="s">
        <v>3156</v>
      </c>
      <c r="E106" s="576" t="s">
        <v>75</v>
      </c>
      <c r="F106" s="576" t="s">
        <v>75</v>
      </c>
      <c r="G106" s="576" t="s">
        <v>75</v>
      </c>
      <c r="H106" s="576" t="s">
        <v>75</v>
      </c>
      <c r="I106" s="576" t="s">
        <v>75</v>
      </c>
      <c r="J106" s="576" t="s">
        <v>75</v>
      </c>
      <c r="K106" s="576"/>
      <c r="L106" s="576"/>
      <c r="M106" s="576"/>
      <c r="N106" s="576"/>
      <c r="O106" s="576"/>
      <c r="P106" s="576"/>
      <c r="Q106" s="576" t="s">
        <v>3154</v>
      </c>
      <c r="R106" s="576" t="s">
        <v>3154</v>
      </c>
      <c r="S106" s="576"/>
      <c r="T106" s="576"/>
      <c r="U106" s="576"/>
      <c r="V106" s="576"/>
      <c r="W106" s="576"/>
      <c r="X106" s="576"/>
      <c r="Y106" s="576"/>
      <c r="Z106" s="576"/>
      <c r="AA106" s="576"/>
      <c r="AB106" s="576"/>
      <c r="AC106" s="576"/>
      <c r="AD106" s="529">
        <v>2553</v>
      </c>
      <c r="AE106" s="529"/>
      <c r="AF106" s="529">
        <f t="shared" si="23"/>
        <v>1384</v>
      </c>
      <c r="AG106" s="529"/>
      <c r="AH106" s="664">
        <f>1824*7</f>
        <v>12768</v>
      </c>
      <c r="AI106" s="633">
        <v>0.1</v>
      </c>
      <c r="AJ106" s="530">
        <f>AH106*AI107</f>
        <v>1276.8000000000002</v>
      </c>
      <c r="AK106" s="528">
        <v>167</v>
      </c>
      <c r="AL106" s="678">
        <f>AK106*7</f>
        <v>1169</v>
      </c>
      <c r="AM106" s="730">
        <f>AL106</f>
        <v>1169</v>
      </c>
      <c r="AN106" s="737">
        <v>638.40000000000009</v>
      </c>
      <c r="AO106" s="631"/>
      <c r="AP106" s="630"/>
      <c r="AQ106" s="530">
        <f>AI106-5%</f>
        <v>0.05</v>
      </c>
      <c r="AR106" s="530">
        <f>AH106*AQ106</f>
        <v>638.40000000000009</v>
      </c>
      <c r="AS106" s="530">
        <f>AN106-AR106</f>
        <v>0</v>
      </c>
      <c r="AT106" s="632"/>
      <c r="AU106" s="632"/>
      <c r="AV106" s="525"/>
      <c r="AW106" s="610" t="s">
        <v>3175</v>
      </c>
    </row>
    <row r="107" spans="1:49" ht="36" customHeight="1">
      <c r="A107" s="524">
        <v>63</v>
      </c>
      <c r="B107" s="575" t="s">
        <v>3169</v>
      </c>
      <c r="C107" s="576" t="s">
        <v>3166</v>
      </c>
      <c r="D107" s="575" t="s">
        <v>3153</v>
      </c>
      <c r="E107" s="576" t="s">
        <v>3154</v>
      </c>
      <c r="F107" s="576" t="s">
        <v>3154</v>
      </c>
      <c r="G107" s="576" t="s">
        <v>3154</v>
      </c>
      <c r="H107" s="576" t="s">
        <v>3154</v>
      </c>
      <c r="I107" s="576" t="s">
        <v>3154</v>
      </c>
      <c r="J107" s="576" t="s">
        <v>3161</v>
      </c>
      <c r="K107" s="576" t="s">
        <v>3154</v>
      </c>
      <c r="L107" s="576"/>
      <c r="M107" s="576"/>
      <c r="N107" s="576"/>
      <c r="O107" s="576"/>
      <c r="P107" s="576"/>
      <c r="Q107" s="576"/>
      <c r="R107" s="576" t="s">
        <v>3154</v>
      </c>
      <c r="S107" s="576"/>
      <c r="T107" s="576"/>
      <c r="U107" s="576"/>
      <c r="V107" s="576"/>
      <c r="W107" s="576"/>
      <c r="X107" s="576"/>
      <c r="Y107" s="576"/>
      <c r="Z107" s="576"/>
      <c r="AA107" s="576"/>
      <c r="AB107" s="576"/>
      <c r="AC107" s="527"/>
      <c r="AD107" s="529">
        <v>1.4</v>
      </c>
      <c r="AE107" s="529"/>
      <c r="AF107" s="529">
        <f t="shared" si="23"/>
        <v>9.9999999999999867E-2</v>
      </c>
      <c r="AG107" s="529"/>
      <c r="AH107" s="529"/>
      <c r="AI107" s="579">
        <v>0.1</v>
      </c>
      <c r="AJ107" s="530">
        <v>1.3</v>
      </c>
      <c r="AK107" s="530"/>
      <c r="AL107" s="530"/>
      <c r="AM107" s="726">
        <v>1.3</v>
      </c>
      <c r="AN107" s="667"/>
      <c r="AO107" s="580"/>
      <c r="AP107" s="530"/>
      <c r="AQ107" s="530"/>
      <c r="AR107" s="530"/>
      <c r="AS107" s="530"/>
      <c r="AT107" s="581"/>
      <c r="AU107" s="581"/>
      <c r="AV107" s="525"/>
      <c r="AW107" s="610" t="s">
        <v>3170</v>
      </c>
    </row>
    <row r="108" spans="1:49" ht="36" customHeight="1">
      <c r="A108" s="524">
        <v>63</v>
      </c>
      <c r="B108" s="575" t="s">
        <v>3451</v>
      </c>
      <c r="C108" s="576" t="s">
        <v>3166</v>
      </c>
      <c r="D108" s="575" t="s">
        <v>3156</v>
      </c>
      <c r="E108" s="576" t="s">
        <v>3154</v>
      </c>
      <c r="F108" s="576" t="s">
        <v>3154</v>
      </c>
      <c r="G108" s="576" t="s">
        <v>3154</v>
      </c>
      <c r="H108" s="576" t="s">
        <v>3154</v>
      </c>
      <c r="I108" s="576" t="s">
        <v>3154</v>
      </c>
      <c r="J108" s="576" t="s">
        <v>3154</v>
      </c>
      <c r="K108" s="576"/>
      <c r="L108" s="576"/>
      <c r="M108" s="576"/>
      <c r="N108" s="576"/>
      <c r="O108" s="576"/>
      <c r="P108" s="576"/>
      <c r="Q108" s="576"/>
      <c r="R108" s="576" t="s">
        <v>3154</v>
      </c>
      <c r="S108" s="576"/>
      <c r="T108" s="576"/>
      <c r="U108" s="576"/>
      <c r="V108" s="576"/>
      <c r="W108" s="576"/>
      <c r="X108" s="576"/>
      <c r="Y108" s="576"/>
      <c r="Z108" s="576"/>
      <c r="AA108" s="576"/>
      <c r="AB108" s="576"/>
      <c r="AC108" s="576"/>
      <c r="AD108" s="529">
        <f>AE108*7</f>
        <v>25767</v>
      </c>
      <c r="AE108" s="529">
        <v>3681</v>
      </c>
      <c r="AF108" s="529">
        <f t="shared" si="23"/>
        <v>23190.3</v>
      </c>
      <c r="AG108" s="529"/>
      <c r="AH108" s="529">
        <f>AD108</f>
        <v>25767</v>
      </c>
      <c r="AI108" s="579">
        <v>0.1</v>
      </c>
      <c r="AJ108" s="530">
        <f>AH108*AI108</f>
        <v>2576.7000000000003</v>
      </c>
      <c r="AK108" s="530">
        <v>1892</v>
      </c>
      <c r="AL108" s="530">
        <f>AK108*7</f>
        <v>13244</v>
      </c>
      <c r="AM108" s="726">
        <f>AJ108</f>
        <v>2576.7000000000003</v>
      </c>
      <c r="AN108" s="736">
        <v>1288</v>
      </c>
      <c r="AO108" s="580"/>
      <c r="AP108" s="530"/>
      <c r="AQ108" s="530">
        <f>AI108-5%</f>
        <v>0.05</v>
      </c>
      <c r="AR108" s="530">
        <f>AH108*AQ108</f>
        <v>1288.3500000000001</v>
      </c>
      <c r="AS108" s="530">
        <f>AN108-AR108</f>
        <v>-0.35000000000013642</v>
      </c>
      <c r="AT108" s="581"/>
      <c r="AU108" s="581"/>
      <c r="AV108" s="525"/>
      <c r="AW108" s="610" t="s">
        <v>3171</v>
      </c>
    </row>
    <row r="109" spans="1:49" ht="36" customHeight="1">
      <c r="A109" s="574">
        <v>64</v>
      </c>
      <c r="B109" s="575" t="s">
        <v>3413</v>
      </c>
      <c r="C109" s="526" t="s">
        <v>129</v>
      </c>
      <c r="D109" s="575" t="s">
        <v>3125</v>
      </c>
      <c r="E109" s="576" t="s">
        <v>3129</v>
      </c>
      <c r="F109" s="576" t="s">
        <v>3129</v>
      </c>
      <c r="G109" s="576" t="s">
        <v>3129</v>
      </c>
      <c r="H109" s="576" t="s">
        <v>3129</v>
      </c>
      <c r="I109" s="576" t="s">
        <v>3129</v>
      </c>
      <c r="J109" s="576" t="s">
        <v>3129</v>
      </c>
      <c r="K109" s="576"/>
      <c r="L109" s="576"/>
      <c r="M109" s="576"/>
      <c r="N109" s="576"/>
      <c r="O109" s="576"/>
      <c r="P109" s="576"/>
      <c r="Q109" s="576"/>
      <c r="R109" s="576" t="s">
        <v>3129</v>
      </c>
      <c r="S109" s="532"/>
      <c r="T109" s="532"/>
      <c r="U109" s="527"/>
      <c r="V109" s="527"/>
      <c r="W109" s="527"/>
      <c r="X109" s="527"/>
      <c r="Y109" s="527"/>
      <c r="Z109" s="527"/>
      <c r="AA109" s="527"/>
      <c r="AB109" s="527"/>
      <c r="AC109" s="527">
        <v>14127</v>
      </c>
      <c r="AD109" s="530">
        <f>AC109</f>
        <v>14127</v>
      </c>
      <c r="AE109" s="530"/>
      <c r="AF109" s="529">
        <f t="shared" si="23"/>
        <v>0</v>
      </c>
      <c r="AG109" s="530"/>
      <c r="AH109" s="530">
        <f>AC109</f>
        <v>14127</v>
      </c>
      <c r="AI109" s="545">
        <v>1</v>
      </c>
      <c r="AJ109" s="530">
        <f>AH109</f>
        <v>14127</v>
      </c>
      <c r="AK109" s="530">
        <v>5036</v>
      </c>
      <c r="AL109" s="530">
        <f>AK109*7</f>
        <v>35252</v>
      </c>
      <c r="AM109" s="726">
        <v>14127</v>
      </c>
      <c r="AN109" s="667">
        <f>AM109</f>
        <v>14127</v>
      </c>
      <c r="AO109" s="580">
        <f>AM109-AN109</f>
        <v>0</v>
      </c>
      <c r="AP109" s="530">
        <f>AO109/AN109</f>
        <v>0</v>
      </c>
      <c r="AQ109" s="590">
        <v>1</v>
      </c>
      <c r="AR109" s="587">
        <f>AH109*AQ109</f>
        <v>14127</v>
      </c>
      <c r="AS109" s="587">
        <f>AN109-AR109</f>
        <v>0</v>
      </c>
      <c r="AT109" s="588"/>
      <c r="AU109" s="588"/>
      <c r="AV109" s="531"/>
      <c r="AW109" s="610"/>
    </row>
    <row r="110" spans="1:49" ht="36" customHeight="1">
      <c r="A110" s="524">
        <v>65</v>
      </c>
      <c r="B110" s="525" t="s">
        <v>3427</v>
      </c>
      <c r="C110" s="526" t="s">
        <v>134</v>
      </c>
      <c r="D110" s="525" t="s">
        <v>85</v>
      </c>
      <c r="E110" s="525" t="s">
        <v>75</v>
      </c>
      <c r="F110" s="525" t="s">
        <v>75</v>
      </c>
      <c r="G110" s="525" t="s">
        <v>75</v>
      </c>
      <c r="H110" s="525" t="s">
        <v>75</v>
      </c>
      <c r="I110" s="525" t="s">
        <v>75</v>
      </c>
      <c r="J110" s="525" t="s">
        <v>75</v>
      </c>
      <c r="K110" s="525"/>
      <c r="L110" s="525"/>
      <c r="M110" s="525"/>
      <c r="N110" s="525"/>
      <c r="O110" s="525"/>
      <c r="P110" s="525"/>
      <c r="Q110" s="525" t="s">
        <v>75</v>
      </c>
      <c r="R110" s="525" t="s">
        <v>75</v>
      </c>
      <c r="S110" s="525"/>
      <c r="T110" s="525"/>
      <c r="U110" s="608"/>
      <c r="V110" s="592"/>
      <c r="W110" s="592"/>
      <c r="X110" s="592"/>
      <c r="Y110" s="592"/>
      <c r="Z110" s="592"/>
      <c r="AA110" s="592">
        <v>277.85219999999998</v>
      </c>
      <c r="AB110" s="634">
        <v>7</v>
      </c>
      <c r="AC110" s="592">
        <v>1965</v>
      </c>
      <c r="AD110" s="528">
        <v>1965</v>
      </c>
      <c r="AE110" s="528"/>
      <c r="AF110" s="529">
        <f t="shared" si="23"/>
        <v>492</v>
      </c>
      <c r="AG110" s="528"/>
      <c r="AH110" s="528">
        <f>AC110/0.2</f>
        <v>9825</v>
      </c>
      <c r="AI110" s="593">
        <v>0.15</v>
      </c>
      <c r="AJ110" s="528">
        <f>AH110*AI110</f>
        <v>1473.75</v>
      </c>
      <c r="AK110" s="530">
        <v>277</v>
      </c>
      <c r="AL110" s="678">
        <f>AK110*7</f>
        <v>1939</v>
      </c>
      <c r="AM110" s="731">
        <v>1473</v>
      </c>
      <c r="AN110" s="671">
        <v>982.5</v>
      </c>
      <c r="AO110" s="635"/>
      <c r="AP110" s="527"/>
      <c r="AQ110" s="530">
        <f>AI110-5%</f>
        <v>9.9999999999999992E-2</v>
      </c>
      <c r="AR110" s="530">
        <f>AH110*AQ110</f>
        <v>982.49999999999989</v>
      </c>
      <c r="AS110" s="530">
        <f>AN110-AR110</f>
        <v>0</v>
      </c>
      <c r="AT110" s="636"/>
      <c r="AU110" s="636"/>
      <c r="AV110" s="604"/>
      <c r="AW110" s="610" t="s">
        <v>3332</v>
      </c>
    </row>
    <row r="111" spans="1:49" ht="36" customHeight="1">
      <c r="A111" s="574">
        <v>66</v>
      </c>
      <c r="B111" s="525" t="s">
        <v>3163</v>
      </c>
      <c r="C111" s="526" t="s">
        <v>3136</v>
      </c>
      <c r="D111" s="525" t="s">
        <v>3127</v>
      </c>
      <c r="E111" s="526" t="s">
        <v>3129</v>
      </c>
      <c r="F111" s="526" t="s">
        <v>3129</v>
      </c>
      <c r="G111" s="526" t="s">
        <v>3129</v>
      </c>
      <c r="H111" s="526" t="s">
        <v>3134</v>
      </c>
      <c r="I111" s="526" t="s">
        <v>3129</v>
      </c>
      <c r="J111" s="526" t="s">
        <v>3134</v>
      </c>
      <c r="K111" s="526" t="s">
        <v>3129</v>
      </c>
      <c r="L111" s="526"/>
      <c r="M111" s="526"/>
      <c r="N111" s="526"/>
      <c r="O111" s="526"/>
      <c r="P111" s="526"/>
      <c r="Q111" s="526"/>
      <c r="R111" s="526"/>
      <c r="S111" s="532"/>
      <c r="T111" s="532"/>
      <c r="U111" s="527"/>
      <c r="V111" s="527"/>
      <c r="W111" s="527"/>
      <c r="X111" s="527"/>
      <c r="Y111" s="527"/>
      <c r="Z111" s="527"/>
      <c r="AA111" s="527"/>
      <c r="AB111" s="527"/>
      <c r="AC111" s="527"/>
      <c r="AD111" s="530">
        <v>1.9</v>
      </c>
      <c r="AE111" s="530"/>
      <c r="AF111" s="529">
        <f t="shared" si="23"/>
        <v>0.24</v>
      </c>
      <c r="AG111" s="530"/>
      <c r="AH111" s="530"/>
      <c r="AI111" s="545"/>
      <c r="AJ111" s="530"/>
      <c r="AK111" s="530"/>
      <c r="AL111" s="530"/>
      <c r="AM111" s="726">
        <v>1.66</v>
      </c>
      <c r="AN111" s="667"/>
      <c r="AO111" s="580"/>
      <c r="AP111" s="530"/>
      <c r="AQ111" s="530"/>
      <c r="AR111" s="530"/>
      <c r="AS111" s="530"/>
      <c r="AT111" s="581"/>
      <c r="AU111" s="581"/>
      <c r="AV111" s="531"/>
      <c r="AW111" s="610"/>
    </row>
    <row r="112" spans="1:49" ht="36" customHeight="1">
      <c r="A112" s="574">
        <v>66</v>
      </c>
      <c r="B112" s="525" t="s">
        <v>3135</v>
      </c>
      <c r="C112" s="526" t="s">
        <v>3136</v>
      </c>
      <c r="D112" s="525" t="s">
        <v>3137</v>
      </c>
      <c r="E112" s="526" t="s">
        <v>3129</v>
      </c>
      <c r="F112" s="526" t="s">
        <v>3129</v>
      </c>
      <c r="G112" s="526" t="s">
        <v>3129</v>
      </c>
      <c r="H112" s="526" t="s">
        <v>3134</v>
      </c>
      <c r="I112" s="526" t="s">
        <v>3129</v>
      </c>
      <c r="J112" s="526" t="s">
        <v>3134</v>
      </c>
      <c r="K112" s="526"/>
      <c r="L112" s="526"/>
      <c r="M112" s="526"/>
      <c r="N112" s="526"/>
      <c r="O112" s="526"/>
      <c r="P112" s="526"/>
      <c r="Q112" s="526"/>
      <c r="R112" s="526"/>
      <c r="S112" s="532"/>
      <c r="T112" s="532"/>
      <c r="U112" s="527"/>
      <c r="V112" s="527"/>
      <c r="W112" s="527"/>
      <c r="X112" s="527"/>
      <c r="Y112" s="527"/>
      <c r="Z112" s="527"/>
      <c r="AA112" s="527"/>
      <c r="AB112" s="527"/>
      <c r="AC112" s="527"/>
      <c r="AD112" s="530">
        <v>6.4</v>
      </c>
      <c r="AE112" s="530"/>
      <c r="AF112" s="529">
        <f t="shared" si="23"/>
        <v>-21.6</v>
      </c>
      <c r="AG112" s="530"/>
      <c r="AH112" s="530"/>
      <c r="AI112" s="545"/>
      <c r="AJ112" s="530"/>
      <c r="AK112" s="530"/>
      <c r="AL112" s="530"/>
      <c r="AM112" s="726">
        <v>28</v>
      </c>
      <c r="AN112" s="667"/>
      <c r="AO112" s="580"/>
      <c r="AP112" s="530"/>
      <c r="AQ112" s="530"/>
      <c r="AR112" s="530"/>
      <c r="AS112" s="530"/>
      <c r="AT112" s="581"/>
      <c r="AU112" s="581"/>
      <c r="AV112" s="531"/>
      <c r="AW112" s="610"/>
    </row>
    <row r="113" spans="1:49" ht="36" customHeight="1">
      <c r="A113" s="574">
        <v>67</v>
      </c>
      <c r="B113" s="525" t="s">
        <v>3414</v>
      </c>
      <c r="C113" s="526" t="s">
        <v>129</v>
      </c>
      <c r="D113" s="525" t="s">
        <v>85</v>
      </c>
      <c r="E113" s="526" t="s">
        <v>75</v>
      </c>
      <c r="F113" s="526" t="s">
        <v>75</v>
      </c>
      <c r="G113" s="526" t="s">
        <v>75</v>
      </c>
      <c r="H113" s="526" t="s">
        <v>75</v>
      </c>
      <c r="I113" s="526" t="s">
        <v>75</v>
      </c>
      <c r="J113" s="526" t="s">
        <v>75</v>
      </c>
      <c r="K113" s="526"/>
      <c r="L113" s="526"/>
      <c r="M113" s="526"/>
      <c r="N113" s="526"/>
      <c r="O113" s="526"/>
      <c r="P113" s="526"/>
      <c r="Q113" s="526" t="s">
        <v>75</v>
      </c>
      <c r="R113" s="526" t="s">
        <v>75</v>
      </c>
      <c r="S113" s="532"/>
      <c r="T113" s="532"/>
      <c r="U113" s="527"/>
      <c r="V113" s="527"/>
      <c r="W113" s="527"/>
      <c r="X113" s="527"/>
      <c r="Y113" s="527"/>
      <c r="Z113" s="527"/>
      <c r="AA113" s="527"/>
      <c r="AB113" s="527"/>
      <c r="AC113" s="527"/>
      <c r="AD113" s="530">
        <f>AE113*7</f>
        <v>756</v>
      </c>
      <c r="AE113" s="530">
        <v>108</v>
      </c>
      <c r="AF113" s="529">
        <f t="shared" si="23"/>
        <v>21.000000000000114</v>
      </c>
      <c r="AG113" s="530"/>
      <c r="AH113" s="530">
        <f>686/0.14</f>
        <v>4899.9999999999991</v>
      </c>
      <c r="AI113" s="545">
        <v>0.15</v>
      </c>
      <c r="AJ113" s="530">
        <f>AH113*AI113</f>
        <v>734.99999999999989</v>
      </c>
      <c r="AK113" s="530">
        <v>656</v>
      </c>
      <c r="AL113" s="530">
        <f>AK113*7</f>
        <v>4592</v>
      </c>
      <c r="AM113" s="726">
        <f>AJ113</f>
        <v>734.99999999999989</v>
      </c>
      <c r="AN113" s="669">
        <v>489.99999999999994</v>
      </c>
      <c r="AO113" s="580">
        <f>AM113-AN113</f>
        <v>244.99999999999994</v>
      </c>
      <c r="AP113" s="530">
        <f>AO113/AN113</f>
        <v>0.49999999999999994</v>
      </c>
      <c r="AQ113" s="590">
        <f>AI113-5%</f>
        <v>9.9999999999999992E-2</v>
      </c>
      <c r="AR113" s="587">
        <f>AH113*AQ113</f>
        <v>489.99999999999989</v>
      </c>
      <c r="AS113" s="587">
        <f>AN113-AR113</f>
        <v>0</v>
      </c>
      <c r="AT113" s="588"/>
      <c r="AU113" s="588"/>
      <c r="AV113" s="531"/>
      <c r="AW113" s="610"/>
    </row>
    <row r="114" spans="1:49" ht="36" customHeight="1">
      <c r="A114" s="524">
        <v>68</v>
      </c>
      <c r="B114" s="637" t="s">
        <v>3322</v>
      </c>
      <c r="C114" s="576" t="s">
        <v>3157</v>
      </c>
      <c r="D114" s="575" t="s">
        <v>3160</v>
      </c>
      <c r="E114" s="576" t="s">
        <v>3154</v>
      </c>
      <c r="F114" s="576" t="s">
        <v>3154</v>
      </c>
      <c r="G114" s="576" t="s">
        <v>3154</v>
      </c>
      <c r="H114" s="576" t="s">
        <v>3154</v>
      </c>
      <c r="I114" s="576" t="s">
        <v>3154</v>
      </c>
      <c r="J114" s="576" t="s">
        <v>3161</v>
      </c>
      <c r="K114" s="576"/>
      <c r="L114" s="576" t="s">
        <v>3154</v>
      </c>
      <c r="M114" s="576"/>
      <c r="N114" s="576"/>
      <c r="O114" s="576"/>
      <c r="P114" s="576"/>
      <c r="Q114" s="576"/>
      <c r="R114" s="576" t="s">
        <v>3154</v>
      </c>
      <c r="S114" s="576"/>
      <c r="T114" s="576"/>
      <c r="U114" s="576"/>
      <c r="V114" s="576">
        <f>213*0.45</f>
        <v>95.850000000000009</v>
      </c>
      <c r="W114" s="576"/>
      <c r="X114" s="576"/>
      <c r="Y114" s="576"/>
      <c r="Z114" s="576"/>
      <c r="AA114" s="576"/>
      <c r="AB114" s="576"/>
      <c r="AC114" s="576"/>
      <c r="AD114" s="529">
        <f>213*0.45</f>
        <v>95.850000000000009</v>
      </c>
      <c r="AE114" s="529"/>
      <c r="AF114" s="529">
        <f t="shared" si="23"/>
        <v>0.85000000000000853</v>
      </c>
      <c r="AG114" s="529"/>
      <c r="AH114" s="529"/>
      <c r="AI114" s="579"/>
      <c r="AJ114" s="530"/>
      <c r="AK114" s="530"/>
      <c r="AL114" s="530"/>
      <c r="AM114" s="726">
        <v>95</v>
      </c>
      <c r="AN114" s="667"/>
      <c r="AO114" s="580"/>
      <c r="AP114" s="530"/>
      <c r="AQ114" s="530"/>
      <c r="AR114" s="530"/>
      <c r="AS114" s="530"/>
      <c r="AT114" s="581"/>
      <c r="AU114" s="581"/>
      <c r="AV114" s="575"/>
      <c r="AW114" s="610" t="s">
        <v>3162</v>
      </c>
    </row>
    <row r="115" spans="1:49" ht="36" customHeight="1">
      <c r="A115" s="524">
        <v>68</v>
      </c>
      <c r="B115" s="575" t="s">
        <v>3415</v>
      </c>
      <c r="C115" s="576" t="s">
        <v>3157</v>
      </c>
      <c r="D115" s="575" t="s">
        <v>3156</v>
      </c>
      <c r="E115" s="576" t="s">
        <v>3154</v>
      </c>
      <c r="F115" s="576" t="s">
        <v>3154</v>
      </c>
      <c r="G115" s="576" t="s">
        <v>3154</v>
      </c>
      <c r="H115" s="576" t="s">
        <v>3154</v>
      </c>
      <c r="I115" s="576" t="s">
        <v>3154</v>
      </c>
      <c r="J115" s="576" t="s">
        <v>3154</v>
      </c>
      <c r="K115" s="576"/>
      <c r="L115" s="576"/>
      <c r="M115" s="576"/>
      <c r="N115" s="576"/>
      <c r="O115" s="576"/>
      <c r="P115" s="576"/>
      <c r="Q115" s="576" t="s">
        <v>3154</v>
      </c>
      <c r="R115" s="576" t="s">
        <v>3154</v>
      </c>
      <c r="S115" s="576"/>
      <c r="T115" s="576"/>
      <c r="U115" s="576"/>
      <c r="V115" s="576"/>
      <c r="W115" s="576"/>
      <c r="X115" s="576"/>
      <c r="Y115" s="576"/>
      <c r="Z115" s="576"/>
      <c r="AA115" s="576"/>
      <c r="AB115" s="576"/>
      <c r="AC115" s="576"/>
      <c r="AD115" s="529">
        <v>13780.82</v>
      </c>
      <c r="AE115" s="529"/>
      <c r="AF115" s="529">
        <f t="shared" si="23"/>
        <v>11024.82</v>
      </c>
      <c r="AG115" s="529">
        <v>13739.6</v>
      </c>
      <c r="AH115" s="529">
        <f>AD115</f>
        <v>13780.82</v>
      </c>
      <c r="AI115" s="579">
        <v>0.2</v>
      </c>
      <c r="AJ115" s="530">
        <f t="shared" ref="AJ115" si="28">AH115*AI115</f>
        <v>2756.1640000000002</v>
      </c>
      <c r="AK115" s="530">
        <v>2858</v>
      </c>
      <c r="AL115" s="530">
        <f>AK115*7</f>
        <v>20006</v>
      </c>
      <c r="AM115" s="726">
        <v>2756</v>
      </c>
      <c r="AN115" s="669">
        <v>2060</v>
      </c>
      <c r="AO115" s="580">
        <f>AM115-AN115</f>
        <v>696</v>
      </c>
      <c r="AP115" s="530">
        <f>AO115/AN115</f>
        <v>0.3378640776699029</v>
      </c>
      <c r="AQ115" s="590">
        <f>AI115-5%</f>
        <v>0.15000000000000002</v>
      </c>
      <c r="AR115" s="587">
        <f>AH115*AQ115</f>
        <v>2067.123</v>
      </c>
      <c r="AS115" s="587">
        <f>AN115-AR115</f>
        <v>-7.1230000000000473</v>
      </c>
      <c r="AT115" s="588"/>
      <c r="AU115" s="588"/>
      <c r="AV115" s="575" t="s">
        <v>3363</v>
      </c>
      <c r="AW115" s="610" t="s">
        <v>3162</v>
      </c>
    </row>
    <row r="116" spans="1:49" ht="36" customHeight="1">
      <c r="A116" s="574">
        <v>69</v>
      </c>
      <c r="B116" s="638" t="s">
        <v>3452</v>
      </c>
      <c r="C116" s="576" t="s">
        <v>3320</v>
      </c>
      <c r="D116" s="575" t="s">
        <v>3156</v>
      </c>
      <c r="E116" s="586">
        <f>250*7*0.05</f>
        <v>87.5</v>
      </c>
      <c r="F116" s="532"/>
      <c r="G116" s="532"/>
      <c r="H116" s="532"/>
      <c r="I116" s="532"/>
      <c r="J116" s="532"/>
      <c r="K116" s="532"/>
      <c r="L116" s="532"/>
      <c r="M116" s="532"/>
      <c r="N116" s="532"/>
      <c r="O116" s="532"/>
      <c r="P116" s="532"/>
      <c r="Q116" s="532"/>
      <c r="R116" s="532"/>
      <c r="S116" s="532"/>
      <c r="T116" s="532"/>
      <c r="U116" s="527"/>
      <c r="V116" s="527"/>
      <c r="W116" s="527"/>
      <c r="X116" s="527"/>
      <c r="Y116" s="527"/>
      <c r="Z116" s="527"/>
      <c r="AA116" s="527"/>
      <c r="AB116" s="527"/>
      <c r="AC116" s="527"/>
      <c r="AD116" s="530">
        <v>7300</v>
      </c>
      <c r="AE116" s="530"/>
      <c r="AF116" s="529">
        <f t="shared" si="23"/>
        <v>6205</v>
      </c>
      <c r="AG116" s="530"/>
      <c r="AH116" s="530">
        <v>7300</v>
      </c>
      <c r="AI116" s="545">
        <v>0.15</v>
      </c>
      <c r="AJ116" s="530">
        <f>AH116*AI116</f>
        <v>1095</v>
      </c>
      <c r="AK116" s="530"/>
      <c r="AL116" s="530"/>
      <c r="AM116" s="726">
        <f>AJ116</f>
        <v>1095</v>
      </c>
      <c r="AN116" s="736">
        <v>725.25</v>
      </c>
      <c r="AO116" s="580"/>
      <c r="AP116" s="530"/>
      <c r="AQ116" s="530">
        <f t="shared" ref="AQ116:AQ117" si="29">AI116-5%</f>
        <v>9.9999999999999992E-2</v>
      </c>
      <c r="AR116" s="530">
        <f t="shared" ref="AR116:AR119" si="30">AH116*AQ116</f>
        <v>729.99999999999989</v>
      </c>
      <c r="AS116" s="530">
        <f t="shared" ref="AS116:AS117" si="31">AN116-AR116</f>
        <v>-4.7499999999998863</v>
      </c>
      <c r="AT116" s="581"/>
      <c r="AU116" s="581"/>
      <c r="AV116" s="531" t="s">
        <v>3369</v>
      </c>
      <c r="AW116" s="610"/>
    </row>
    <row r="117" spans="1:49" ht="36" customHeight="1">
      <c r="A117" s="574">
        <v>70</v>
      </c>
      <c r="B117" s="575" t="s">
        <v>3453</v>
      </c>
      <c r="C117" s="576" t="s">
        <v>89</v>
      </c>
      <c r="D117" s="575" t="s">
        <v>85</v>
      </c>
      <c r="E117" s="576" t="s">
        <v>75</v>
      </c>
      <c r="F117" s="526" t="s">
        <v>3119</v>
      </c>
      <c r="G117" s="576" t="s">
        <v>75</v>
      </c>
      <c r="H117" s="576" t="s">
        <v>75</v>
      </c>
      <c r="I117" s="576" t="s">
        <v>75</v>
      </c>
      <c r="J117" s="576" t="s">
        <v>3120</v>
      </c>
      <c r="K117" s="576"/>
      <c r="L117" s="576"/>
      <c r="M117" s="576"/>
      <c r="N117" s="576"/>
      <c r="O117" s="576"/>
      <c r="P117" s="576"/>
      <c r="Q117" s="576" t="s">
        <v>75</v>
      </c>
      <c r="R117" s="576" t="s">
        <v>75</v>
      </c>
      <c r="S117" s="576"/>
      <c r="T117" s="576"/>
      <c r="U117" s="582"/>
      <c r="V117" s="582"/>
      <c r="W117" s="582"/>
      <c r="X117" s="582"/>
      <c r="Y117" s="582"/>
      <c r="Z117" s="582"/>
      <c r="AA117" s="582"/>
      <c r="AB117" s="582"/>
      <c r="AC117" s="582"/>
      <c r="AD117" s="529">
        <v>390</v>
      </c>
      <c r="AE117" s="529"/>
      <c r="AF117" s="529">
        <f t="shared" si="23"/>
        <v>182</v>
      </c>
      <c r="AG117" s="530"/>
      <c r="AH117" s="530">
        <v>2080</v>
      </c>
      <c r="AI117" s="545">
        <v>0.1</v>
      </c>
      <c r="AJ117" s="529">
        <f>AH117*AI117</f>
        <v>208</v>
      </c>
      <c r="AK117" s="529">
        <v>88</v>
      </c>
      <c r="AL117" s="529">
        <v>616</v>
      </c>
      <c r="AM117" s="728">
        <f>AJ117</f>
        <v>208</v>
      </c>
      <c r="AN117" s="736">
        <v>108</v>
      </c>
      <c r="AO117" s="622"/>
      <c r="AP117" s="529"/>
      <c r="AQ117" s="530">
        <f t="shared" si="29"/>
        <v>0.05</v>
      </c>
      <c r="AR117" s="530">
        <f t="shared" si="30"/>
        <v>104</v>
      </c>
      <c r="AS117" s="530">
        <f t="shared" si="31"/>
        <v>4</v>
      </c>
      <c r="AT117" s="623"/>
      <c r="AU117" s="623"/>
      <c r="AV117" s="585"/>
      <c r="AW117" s="610"/>
    </row>
    <row r="118" spans="1:49" ht="36" customHeight="1">
      <c r="A118" s="574">
        <v>73</v>
      </c>
      <c r="B118" s="525" t="s">
        <v>3318</v>
      </c>
      <c r="C118" s="526" t="s">
        <v>129</v>
      </c>
      <c r="D118" s="525" t="s">
        <v>98</v>
      </c>
      <c r="E118" s="525" t="s">
        <v>75</v>
      </c>
      <c r="F118" s="525" t="s">
        <v>75</v>
      </c>
      <c r="G118" s="525" t="s">
        <v>75</v>
      </c>
      <c r="H118" s="525" t="s">
        <v>75</v>
      </c>
      <c r="I118" s="525" t="s">
        <v>75</v>
      </c>
      <c r="J118" s="525" t="s">
        <v>75</v>
      </c>
      <c r="K118" s="525"/>
      <c r="L118" s="525" t="s">
        <v>3269</v>
      </c>
      <c r="M118" s="525"/>
      <c r="N118" s="525"/>
      <c r="O118" s="525"/>
      <c r="P118" s="525"/>
      <c r="Q118" s="525"/>
      <c r="R118" s="525" t="s">
        <v>75</v>
      </c>
      <c r="S118" s="532"/>
      <c r="T118" s="532"/>
      <c r="U118" s="527"/>
      <c r="V118" s="527"/>
      <c r="W118" s="527"/>
      <c r="X118" s="527"/>
      <c r="Y118" s="527"/>
      <c r="Z118" s="527"/>
      <c r="AA118" s="527"/>
      <c r="AB118" s="527"/>
      <c r="AC118" s="527"/>
      <c r="AD118" s="530">
        <v>26.55</v>
      </c>
      <c r="AE118" s="530"/>
      <c r="AF118" s="529">
        <f t="shared" si="23"/>
        <v>0.55000000000000071</v>
      </c>
      <c r="AG118" s="530"/>
      <c r="AH118" s="530"/>
      <c r="AI118" s="545"/>
      <c r="AJ118" s="530"/>
      <c r="AK118" s="530"/>
      <c r="AL118" s="530"/>
      <c r="AM118" s="726">
        <v>26</v>
      </c>
      <c r="AN118" s="667"/>
      <c r="AO118" s="580"/>
      <c r="AP118" s="530"/>
      <c r="AQ118" s="530"/>
      <c r="AR118" s="530"/>
      <c r="AS118" s="530"/>
      <c r="AT118" s="581"/>
      <c r="AU118" s="581"/>
      <c r="AV118" s="531"/>
      <c r="AW118" s="610"/>
    </row>
    <row r="119" spans="1:49" s="490" customFormat="1" ht="36" customHeight="1">
      <c r="A119" s="574">
        <v>74</v>
      </c>
      <c r="B119" s="575" t="s">
        <v>3454</v>
      </c>
      <c r="C119" s="576" t="s">
        <v>89</v>
      </c>
      <c r="D119" s="525" t="s">
        <v>85</v>
      </c>
      <c r="E119" s="576" t="s">
        <v>75</v>
      </c>
      <c r="F119" s="576" t="s">
        <v>75</v>
      </c>
      <c r="G119" s="576" t="s">
        <v>75</v>
      </c>
      <c r="H119" s="576" t="s">
        <v>75</v>
      </c>
      <c r="I119" s="576" t="s">
        <v>75</v>
      </c>
      <c r="J119" s="576" t="s">
        <v>75</v>
      </c>
      <c r="K119" s="526"/>
      <c r="L119" s="526"/>
      <c r="M119" s="526"/>
      <c r="N119" s="526"/>
      <c r="O119" s="526"/>
      <c r="P119" s="526"/>
      <c r="Q119" s="576" t="s">
        <v>75</v>
      </c>
      <c r="R119" s="576" t="s">
        <v>75</v>
      </c>
      <c r="S119" s="532"/>
      <c r="T119" s="532"/>
      <c r="U119" s="527"/>
      <c r="V119" s="527"/>
      <c r="W119" s="527"/>
      <c r="X119" s="527"/>
      <c r="Y119" s="527"/>
      <c r="Z119" s="527"/>
      <c r="AA119" s="527"/>
      <c r="AB119" s="527"/>
      <c r="AC119" s="527"/>
      <c r="AD119" s="528">
        <v>3941.4900000000002</v>
      </c>
      <c r="AE119" s="528">
        <v>563.07000000000005</v>
      </c>
      <c r="AF119" s="529">
        <f t="shared" si="23"/>
        <v>3556.4900000000002</v>
      </c>
      <c r="AG119" s="530"/>
      <c r="AH119" s="491">
        <f>AJ119/AI119</f>
        <v>1942.5</v>
      </c>
      <c r="AI119" s="517">
        <v>0.1</v>
      </c>
      <c r="AJ119" s="491">
        <v>194.25</v>
      </c>
      <c r="AK119" s="491">
        <v>82</v>
      </c>
      <c r="AL119" s="491">
        <v>574</v>
      </c>
      <c r="AM119" s="726">
        <v>385</v>
      </c>
      <c r="AN119" s="736">
        <v>194</v>
      </c>
      <c r="AO119" s="580"/>
      <c r="AP119" s="530"/>
      <c r="AQ119" s="491">
        <f>AI119-5%</f>
        <v>0.05</v>
      </c>
      <c r="AR119" s="491">
        <f t="shared" si="30"/>
        <v>97.125</v>
      </c>
      <c r="AS119" s="491">
        <f>AN119-AR119</f>
        <v>96.875</v>
      </c>
      <c r="AT119" s="553"/>
      <c r="AU119" s="553"/>
      <c r="AV119" s="489"/>
      <c r="AW119" s="610"/>
    </row>
    <row r="120" spans="1:49" ht="36" customHeight="1">
      <c r="A120" s="524">
        <v>75</v>
      </c>
      <c r="B120" s="575" t="s">
        <v>3416</v>
      </c>
      <c r="C120" s="576" t="s">
        <v>3157</v>
      </c>
      <c r="D120" s="575" t="s">
        <v>85</v>
      </c>
      <c r="E120" s="589" t="s">
        <v>3154</v>
      </c>
      <c r="F120" s="589" t="s">
        <v>3154</v>
      </c>
      <c r="G120" s="589" t="s">
        <v>3154</v>
      </c>
      <c r="H120" s="576" t="s">
        <v>75</v>
      </c>
      <c r="I120" s="589" t="s">
        <v>3154</v>
      </c>
      <c r="J120" s="589" t="s">
        <v>3154</v>
      </c>
      <c r="K120" s="589"/>
      <c r="L120" s="589"/>
      <c r="M120" s="589"/>
      <c r="N120" s="589"/>
      <c r="O120" s="589"/>
      <c r="P120" s="589"/>
      <c r="Q120" s="589" t="s">
        <v>3154</v>
      </c>
      <c r="R120" s="589" t="s">
        <v>3154</v>
      </c>
      <c r="S120" s="589"/>
      <c r="T120" s="589"/>
      <c r="U120" s="589"/>
      <c r="V120" s="589"/>
      <c r="W120" s="589"/>
      <c r="X120" s="589"/>
      <c r="Y120" s="589"/>
      <c r="Z120" s="589"/>
      <c r="AA120" s="589">
        <v>579.37</v>
      </c>
      <c r="AB120" s="589">
        <v>7.0795000000000003</v>
      </c>
      <c r="AC120" s="589">
        <v>4072.24</v>
      </c>
      <c r="AD120" s="529">
        <v>4072.24</v>
      </c>
      <c r="AE120" s="529">
        <v>579.37</v>
      </c>
      <c r="AF120" s="529">
        <f t="shared" si="23"/>
        <v>19.239999999999782</v>
      </c>
      <c r="AG120" s="529"/>
      <c r="AH120" s="529">
        <f>AM120</f>
        <v>4053</v>
      </c>
      <c r="AI120" s="579">
        <v>1</v>
      </c>
      <c r="AJ120" s="528">
        <f>AH120</f>
        <v>4053</v>
      </c>
      <c r="AK120" s="529">
        <v>579</v>
      </c>
      <c r="AL120" s="530">
        <f>AK120*7</f>
        <v>4053</v>
      </c>
      <c r="AM120" s="726">
        <v>4053</v>
      </c>
      <c r="AN120" s="667">
        <f>AM120</f>
        <v>4053</v>
      </c>
      <c r="AO120" s="580">
        <f>AM120-AN120</f>
        <v>0</v>
      </c>
      <c r="AP120" s="530">
        <f>AO120/AN120</f>
        <v>0</v>
      </c>
      <c r="AQ120" s="590">
        <v>1</v>
      </c>
      <c r="AR120" s="587">
        <f>AH120*AQ120</f>
        <v>4053</v>
      </c>
      <c r="AS120" s="587">
        <f>AN120-AR120</f>
        <v>0</v>
      </c>
      <c r="AT120" s="588"/>
      <c r="AU120" s="588"/>
      <c r="AV120" s="525" t="s">
        <v>3159</v>
      </c>
      <c r="AW120" s="610" t="s">
        <v>3158</v>
      </c>
    </row>
    <row r="121" spans="1:49" ht="36" customHeight="1">
      <c r="A121" s="524">
        <v>76</v>
      </c>
      <c r="B121" s="575" t="s">
        <v>3455</v>
      </c>
      <c r="C121" s="576" t="s">
        <v>89</v>
      </c>
      <c r="D121" s="525" t="s">
        <v>85</v>
      </c>
      <c r="E121" s="576" t="s">
        <v>75</v>
      </c>
      <c r="F121" s="576" t="s">
        <v>75</v>
      </c>
      <c r="G121" s="576" t="s">
        <v>75</v>
      </c>
      <c r="H121" s="576" t="s">
        <v>75</v>
      </c>
      <c r="I121" s="576" t="s">
        <v>75</v>
      </c>
      <c r="J121" s="576" t="s">
        <v>75</v>
      </c>
      <c r="K121" s="589"/>
      <c r="L121" s="589"/>
      <c r="M121" s="589"/>
      <c r="N121" s="589"/>
      <c r="O121" s="589"/>
      <c r="P121" s="589"/>
      <c r="Q121" s="589"/>
      <c r="R121" s="576" t="s">
        <v>75</v>
      </c>
      <c r="S121" s="532"/>
      <c r="T121" s="532"/>
      <c r="U121" s="527"/>
      <c r="V121" s="527"/>
      <c r="W121" s="527"/>
      <c r="X121" s="527"/>
      <c r="Y121" s="527"/>
      <c r="Z121" s="527"/>
      <c r="AA121" s="527"/>
      <c r="AB121" s="527"/>
      <c r="AC121" s="527"/>
      <c r="AD121" s="529">
        <f>AE121*7.0795</f>
        <v>5829.4018900000001</v>
      </c>
      <c r="AE121" s="529">
        <v>823.42</v>
      </c>
      <c r="AF121" s="529">
        <f t="shared" si="23"/>
        <v>4664.4018900000001</v>
      </c>
      <c r="AG121" s="529"/>
      <c r="AH121" s="529">
        <f>AD121</f>
        <v>5829.4018900000001</v>
      </c>
      <c r="AI121" s="579">
        <v>0.2</v>
      </c>
      <c r="AJ121" s="530">
        <f>AH121*AI121</f>
        <v>1165.8803780000001</v>
      </c>
      <c r="AK121" s="530">
        <v>371</v>
      </c>
      <c r="AL121" s="530">
        <f>AK121*7</f>
        <v>2597</v>
      </c>
      <c r="AM121" s="726">
        <v>1165</v>
      </c>
      <c r="AN121" s="736">
        <v>874</v>
      </c>
      <c r="AO121" s="580"/>
      <c r="AP121" s="530"/>
      <c r="AQ121" s="530">
        <f>AI121-5%</f>
        <v>0.15000000000000002</v>
      </c>
      <c r="AR121" s="530">
        <f>AH121*AQ121</f>
        <v>874.41028350000011</v>
      </c>
      <c r="AS121" s="530">
        <f>AN121-AR121</f>
        <v>-0.41028350000010505</v>
      </c>
      <c r="AT121" s="581"/>
      <c r="AU121" s="581"/>
      <c r="AV121" s="525"/>
      <c r="AW121" s="610"/>
    </row>
    <row r="122" spans="1:49" ht="36" customHeight="1">
      <c r="A122" s="574">
        <v>77</v>
      </c>
      <c r="B122" s="575" t="s">
        <v>3152</v>
      </c>
      <c r="C122" s="576" t="s">
        <v>89</v>
      </c>
      <c r="D122" s="531" t="s">
        <v>3153</v>
      </c>
      <c r="E122" s="603" t="s">
        <v>3154</v>
      </c>
      <c r="F122" s="603" t="s">
        <v>3154</v>
      </c>
      <c r="G122" s="603" t="s">
        <v>3154</v>
      </c>
      <c r="H122" s="603" t="s">
        <v>3154</v>
      </c>
      <c r="I122" s="603" t="s">
        <v>3154</v>
      </c>
      <c r="J122" s="603" t="s">
        <v>3154</v>
      </c>
      <c r="K122" s="603" t="s">
        <v>3154</v>
      </c>
      <c r="L122" s="603"/>
      <c r="M122" s="603"/>
      <c r="N122" s="603"/>
      <c r="O122" s="603"/>
      <c r="P122" s="603"/>
      <c r="Q122" s="603"/>
      <c r="R122" s="603" t="s">
        <v>3154</v>
      </c>
      <c r="S122" s="603"/>
      <c r="T122" s="603"/>
      <c r="U122" s="603"/>
      <c r="V122" s="603"/>
      <c r="W122" s="603"/>
      <c r="X122" s="603"/>
      <c r="Y122" s="603"/>
      <c r="Z122" s="603"/>
      <c r="AA122" s="603"/>
      <c r="AB122" s="603"/>
      <c r="AC122" s="603"/>
      <c r="AD122" s="530">
        <v>4.3</v>
      </c>
      <c r="AE122" s="530"/>
      <c r="AF122" s="529">
        <f>AD122-AM122</f>
        <v>1.2999999999999998</v>
      </c>
      <c r="AG122" s="530"/>
      <c r="AH122" s="530"/>
      <c r="AI122" s="545"/>
      <c r="AJ122" s="530"/>
      <c r="AK122" s="530"/>
      <c r="AL122" s="530"/>
      <c r="AM122" s="726">
        <v>3</v>
      </c>
      <c r="AN122" s="667"/>
      <c r="AO122" s="580"/>
      <c r="AP122" s="530"/>
      <c r="AQ122" s="530"/>
      <c r="AR122" s="530"/>
      <c r="AS122" s="530"/>
      <c r="AT122" s="581"/>
      <c r="AU122" s="581"/>
      <c r="AV122" s="531" t="s">
        <v>3155</v>
      </c>
      <c r="AW122" s="610" t="s">
        <v>3333</v>
      </c>
    </row>
    <row r="123" spans="1:49" ht="36" customHeight="1">
      <c r="A123" s="574">
        <v>77</v>
      </c>
      <c r="B123" s="575" t="s">
        <v>3456</v>
      </c>
      <c r="C123" s="576" t="s">
        <v>89</v>
      </c>
      <c r="D123" s="531" t="s">
        <v>3156</v>
      </c>
      <c r="E123" s="603" t="s">
        <v>3154</v>
      </c>
      <c r="F123" s="603" t="s">
        <v>3154</v>
      </c>
      <c r="G123" s="603" t="s">
        <v>3154</v>
      </c>
      <c r="H123" s="603" t="s">
        <v>3154</v>
      </c>
      <c r="I123" s="603" t="s">
        <v>3154</v>
      </c>
      <c r="J123" s="603" t="s">
        <v>3154</v>
      </c>
      <c r="K123" s="603"/>
      <c r="L123" s="603"/>
      <c r="M123" s="603"/>
      <c r="N123" s="603"/>
      <c r="O123" s="603"/>
      <c r="P123" s="603"/>
      <c r="Q123" s="603" t="s">
        <v>3154</v>
      </c>
      <c r="R123" s="603"/>
      <c r="S123" s="603"/>
      <c r="T123" s="603"/>
      <c r="U123" s="603"/>
      <c r="V123" s="603"/>
      <c r="W123" s="603"/>
      <c r="X123" s="603"/>
      <c r="Y123" s="603"/>
      <c r="Z123" s="603"/>
      <c r="AA123" s="603"/>
      <c r="AB123" s="603"/>
      <c r="AC123" s="603"/>
      <c r="AD123" s="530">
        <v>1035</v>
      </c>
      <c r="AE123" s="530">
        <v>146</v>
      </c>
      <c r="AF123" s="529">
        <f t="shared" si="23"/>
        <v>932</v>
      </c>
      <c r="AG123" s="530"/>
      <c r="AH123" s="530">
        <f>AD123</f>
        <v>1035</v>
      </c>
      <c r="AI123" s="545">
        <v>0.1</v>
      </c>
      <c r="AJ123" s="530">
        <f>AH123*AI123</f>
        <v>103.5</v>
      </c>
      <c r="AK123" s="530">
        <v>115</v>
      </c>
      <c r="AL123" s="530">
        <f>AK123*7</f>
        <v>805</v>
      </c>
      <c r="AM123" s="726">
        <v>103</v>
      </c>
      <c r="AN123" s="736">
        <v>51</v>
      </c>
      <c r="AO123" s="580"/>
      <c r="AP123" s="530"/>
      <c r="AQ123" s="530">
        <f>AI123-5%</f>
        <v>0.05</v>
      </c>
      <c r="AR123" s="530">
        <f>AH123*AQ123</f>
        <v>51.75</v>
      </c>
      <c r="AS123" s="530">
        <f>AN123-AR123</f>
        <v>-0.75</v>
      </c>
      <c r="AT123" s="581"/>
      <c r="AU123" s="581"/>
      <c r="AV123" s="531"/>
      <c r="AW123" s="610" t="s">
        <v>3333</v>
      </c>
    </row>
    <row r="124" spans="1:49" s="520" customFormat="1" ht="36" customHeight="1">
      <c r="A124" s="574">
        <v>78</v>
      </c>
      <c r="B124" s="575" t="s">
        <v>3428</v>
      </c>
      <c r="C124" s="576" t="s">
        <v>134</v>
      </c>
      <c r="D124" s="575" t="s">
        <v>85</v>
      </c>
      <c r="E124" s="576" t="s">
        <v>75</v>
      </c>
      <c r="F124" s="576" t="s">
        <v>75</v>
      </c>
      <c r="G124" s="576" t="s">
        <v>75</v>
      </c>
      <c r="H124" s="576" t="s">
        <v>75</v>
      </c>
      <c r="I124" s="576" t="s">
        <v>75</v>
      </c>
      <c r="J124" s="576" t="s">
        <v>75</v>
      </c>
      <c r="K124" s="576"/>
      <c r="L124" s="576"/>
      <c r="M124" s="576"/>
      <c r="N124" s="576"/>
      <c r="O124" s="576"/>
      <c r="P124" s="576"/>
      <c r="Q124" s="576" t="s">
        <v>75</v>
      </c>
      <c r="R124" s="576" t="s">
        <v>75</v>
      </c>
      <c r="S124" s="576"/>
      <c r="T124" s="576"/>
      <c r="U124" s="582"/>
      <c r="V124" s="582"/>
      <c r="W124" s="582"/>
      <c r="X124" s="582"/>
      <c r="Y124" s="582"/>
      <c r="Z124" s="582"/>
      <c r="AA124" s="582"/>
      <c r="AB124" s="582"/>
      <c r="AC124" s="582"/>
      <c r="AD124" s="528">
        <v>44084</v>
      </c>
      <c r="AE124" s="529"/>
      <c r="AF124" s="529">
        <f t="shared" si="23"/>
        <v>35504.800000000003</v>
      </c>
      <c r="AG124" s="530"/>
      <c r="AH124" s="518">
        <v>42896</v>
      </c>
      <c r="AI124" s="521">
        <v>0.2</v>
      </c>
      <c r="AJ124" s="518">
        <f>AH124*AI124</f>
        <v>8579.2000000000007</v>
      </c>
      <c r="AK124" s="518">
        <v>8821</v>
      </c>
      <c r="AL124" s="678">
        <v>61747</v>
      </c>
      <c r="AM124" s="730">
        <f>AJ124</f>
        <v>8579.2000000000007</v>
      </c>
      <c r="AN124" s="737">
        <v>2406.6999999999998</v>
      </c>
      <c r="AO124" s="631"/>
      <c r="AP124" s="630"/>
      <c r="AQ124" s="530">
        <v>0.05</v>
      </c>
      <c r="AR124" s="518">
        <f>AH124*AQ124</f>
        <v>2144.8000000000002</v>
      </c>
      <c r="AS124" s="518">
        <f>AN124-AR124</f>
        <v>261.89999999999964</v>
      </c>
      <c r="AT124" s="556"/>
      <c r="AU124" s="556"/>
      <c r="AV124" s="523"/>
      <c r="AW124" s="610" t="s">
        <v>3283</v>
      </c>
    </row>
    <row r="125" spans="1:49" ht="36" customHeight="1">
      <c r="A125" s="574">
        <v>79</v>
      </c>
      <c r="B125" s="575" t="s">
        <v>3316</v>
      </c>
      <c r="C125" s="576" t="s">
        <v>73</v>
      </c>
      <c r="D125" s="525" t="s">
        <v>101</v>
      </c>
      <c r="E125" s="576" t="s">
        <v>75</v>
      </c>
      <c r="F125" s="576" t="s">
        <v>75</v>
      </c>
      <c r="G125" s="576" t="s">
        <v>75</v>
      </c>
      <c r="H125" s="576" t="s">
        <v>75</v>
      </c>
      <c r="I125" s="576" t="s">
        <v>75</v>
      </c>
      <c r="J125" s="576" t="s">
        <v>75</v>
      </c>
      <c r="K125" s="576" t="s">
        <v>75</v>
      </c>
      <c r="L125" s="532"/>
      <c r="M125" s="532"/>
      <c r="N125" s="532"/>
      <c r="O125" s="532"/>
      <c r="P125" s="532"/>
      <c r="Q125" s="532"/>
      <c r="R125" s="526" t="s">
        <v>75</v>
      </c>
      <c r="S125" s="532"/>
      <c r="T125" s="532"/>
      <c r="U125" s="576" t="s">
        <v>75</v>
      </c>
      <c r="V125" s="527"/>
      <c r="W125" s="527"/>
      <c r="X125" s="527"/>
      <c r="Y125" s="527"/>
      <c r="Z125" s="527"/>
      <c r="AA125" s="582"/>
      <c r="AB125" s="582"/>
      <c r="AC125" s="582"/>
      <c r="AD125" s="529">
        <v>12</v>
      </c>
      <c r="AE125" s="529"/>
      <c r="AF125" s="529">
        <f t="shared" si="23"/>
        <v>3.5</v>
      </c>
      <c r="AG125" s="529"/>
      <c r="AH125" s="529"/>
      <c r="AI125" s="579"/>
      <c r="AJ125" s="529"/>
      <c r="AK125" s="529"/>
      <c r="AL125" s="529"/>
      <c r="AM125" s="726">
        <v>8.5</v>
      </c>
      <c r="AN125" s="667"/>
      <c r="AO125" s="580"/>
      <c r="AP125" s="530"/>
      <c r="AQ125" s="530"/>
      <c r="AR125" s="530"/>
      <c r="AS125" s="530"/>
      <c r="AT125" s="581"/>
      <c r="AU125" s="581"/>
      <c r="AV125" s="531"/>
      <c r="AW125" s="610" t="s">
        <v>155</v>
      </c>
    </row>
    <row r="126" spans="1:49" ht="36" customHeight="1">
      <c r="A126" s="574">
        <v>79</v>
      </c>
      <c r="B126" s="575" t="s">
        <v>3298</v>
      </c>
      <c r="C126" s="576" t="s">
        <v>3151</v>
      </c>
      <c r="D126" s="525" t="s">
        <v>104</v>
      </c>
      <c r="E126" s="576" t="s">
        <v>75</v>
      </c>
      <c r="F126" s="576" t="s">
        <v>75</v>
      </c>
      <c r="G126" s="576" t="s">
        <v>75</v>
      </c>
      <c r="H126" s="576" t="s">
        <v>75</v>
      </c>
      <c r="I126" s="576" t="s">
        <v>75</v>
      </c>
      <c r="J126" s="576" t="s">
        <v>75</v>
      </c>
      <c r="K126" s="532"/>
      <c r="L126" s="532"/>
      <c r="M126" s="532"/>
      <c r="N126" s="576" t="s">
        <v>75</v>
      </c>
      <c r="O126" s="532"/>
      <c r="P126" s="532"/>
      <c r="Q126" s="532"/>
      <c r="R126" s="526" t="s">
        <v>75</v>
      </c>
      <c r="S126" s="532"/>
      <c r="T126" s="532"/>
      <c r="U126" s="527"/>
      <c r="V126" s="527"/>
      <c r="W126" s="527"/>
      <c r="X126" s="576" t="s">
        <v>75</v>
      </c>
      <c r="Y126" s="527"/>
      <c r="Z126" s="527"/>
      <c r="AA126" s="582"/>
      <c r="AB126" s="582"/>
      <c r="AC126" s="582"/>
      <c r="AD126" s="529">
        <v>1.4</v>
      </c>
      <c r="AE126" s="529"/>
      <c r="AF126" s="529">
        <f t="shared" si="23"/>
        <v>0</v>
      </c>
      <c r="AG126" s="529"/>
      <c r="AH126" s="529"/>
      <c r="AI126" s="579"/>
      <c r="AJ126" s="529"/>
      <c r="AK126" s="529"/>
      <c r="AL126" s="529"/>
      <c r="AM126" s="726">
        <v>1.4</v>
      </c>
      <c r="AN126" s="667"/>
      <c r="AO126" s="580"/>
      <c r="AP126" s="530"/>
      <c r="AQ126" s="530"/>
      <c r="AR126" s="530"/>
      <c r="AS126" s="530"/>
      <c r="AT126" s="581"/>
      <c r="AU126" s="581"/>
      <c r="AV126" s="531"/>
      <c r="AW126" s="610" t="s">
        <v>155</v>
      </c>
    </row>
    <row r="127" spans="1:49" ht="36" customHeight="1">
      <c r="A127" s="574">
        <v>79</v>
      </c>
      <c r="B127" s="575" t="s">
        <v>154</v>
      </c>
      <c r="C127" s="576" t="s">
        <v>73</v>
      </c>
      <c r="D127" s="525" t="s">
        <v>105</v>
      </c>
      <c r="E127" s="576" t="s">
        <v>75</v>
      </c>
      <c r="F127" s="576" t="s">
        <v>75</v>
      </c>
      <c r="G127" s="576" t="s">
        <v>75</v>
      </c>
      <c r="H127" s="576" t="s">
        <v>75</v>
      </c>
      <c r="I127" s="576" t="s">
        <v>75</v>
      </c>
      <c r="J127" s="576" t="s">
        <v>75</v>
      </c>
      <c r="K127" s="532"/>
      <c r="L127" s="532"/>
      <c r="M127" s="532"/>
      <c r="N127" s="532"/>
      <c r="O127" s="532"/>
      <c r="P127" s="532"/>
      <c r="Q127" s="532"/>
      <c r="R127" s="526" t="s">
        <v>75</v>
      </c>
      <c r="S127" s="532"/>
      <c r="T127" s="532"/>
      <c r="U127" s="527"/>
      <c r="V127" s="527"/>
      <c r="W127" s="527"/>
      <c r="X127" s="527"/>
      <c r="Y127" s="527"/>
      <c r="Z127" s="527"/>
      <c r="AA127" s="582"/>
      <c r="AB127" s="582"/>
      <c r="AC127" s="582"/>
      <c r="AD127" s="529">
        <v>40</v>
      </c>
      <c r="AE127" s="529"/>
      <c r="AF127" s="529">
        <f t="shared" si="23"/>
        <v>0</v>
      </c>
      <c r="AG127" s="529"/>
      <c r="AH127" s="529"/>
      <c r="AI127" s="579"/>
      <c r="AJ127" s="529"/>
      <c r="AK127" s="529"/>
      <c r="AL127" s="529"/>
      <c r="AM127" s="728">
        <v>40</v>
      </c>
      <c r="AN127" s="670"/>
      <c r="AO127" s="622"/>
      <c r="AP127" s="529"/>
      <c r="AQ127" s="529"/>
      <c r="AR127" s="529"/>
      <c r="AS127" s="529"/>
      <c r="AT127" s="623"/>
      <c r="AU127" s="623"/>
      <c r="AV127" s="575"/>
      <c r="AW127" s="610" t="s">
        <v>155</v>
      </c>
    </row>
    <row r="128" spans="1:49" ht="36" customHeight="1">
      <c r="A128" s="574">
        <v>79</v>
      </c>
      <c r="B128" s="575" t="s">
        <v>3299</v>
      </c>
      <c r="C128" s="576" t="s">
        <v>73</v>
      </c>
      <c r="D128" s="598" t="s">
        <v>85</v>
      </c>
      <c r="E128" s="576" t="s">
        <v>75</v>
      </c>
      <c r="F128" s="576" t="s">
        <v>75</v>
      </c>
      <c r="G128" s="576" t="s">
        <v>75</v>
      </c>
      <c r="H128" s="576" t="s">
        <v>75</v>
      </c>
      <c r="I128" s="576" t="s">
        <v>75</v>
      </c>
      <c r="J128" s="576" t="s">
        <v>75</v>
      </c>
      <c r="K128" s="532"/>
      <c r="L128" s="532"/>
      <c r="M128" s="532"/>
      <c r="N128" s="532"/>
      <c r="O128" s="532"/>
      <c r="P128" s="532"/>
      <c r="Q128" s="532"/>
      <c r="R128" s="526" t="s">
        <v>75</v>
      </c>
      <c r="S128" s="532"/>
      <c r="T128" s="532"/>
      <c r="U128" s="527"/>
      <c r="V128" s="527"/>
      <c r="W128" s="527"/>
      <c r="X128" s="527"/>
      <c r="Y128" s="527"/>
      <c r="Z128" s="527"/>
      <c r="AA128" s="582"/>
      <c r="AB128" s="582"/>
      <c r="AC128" s="582"/>
      <c r="AD128" s="529">
        <v>1531</v>
      </c>
      <c r="AE128" s="529"/>
      <c r="AF128" s="529">
        <f t="shared" si="23"/>
        <v>463</v>
      </c>
      <c r="AG128" s="529"/>
      <c r="AH128" s="529">
        <v>5340</v>
      </c>
      <c r="AI128" s="579">
        <v>0.2</v>
      </c>
      <c r="AJ128" s="529">
        <f>AH128*AI128</f>
        <v>1068</v>
      </c>
      <c r="AK128" s="529">
        <v>1110.03</v>
      </c>
      <c r="AL128" s="529">
        <f>AK128*7</f>
        <v>7770.21</v>
      </c>
      <c r="AM128" s="728">
        <v>1068</v>
      </c>
      <c r="AN128" s="670">
        <v>801</v>
      </c>
      <c r="AO128" s="622"/>
      <c r="AP128" s="529"/>
      <c r="AQ128" s="529">
        <v>0.15</v>
      </c>
      <c r="AR128" s="530">
        <f>AH128*AQ128</f>
        <v>801</v>
      </c>
      <c r="AS128" s="530">
        <f>AN128-AR128</f>
        <v>0</v>
      </c>
      <c r="AT128" s="623"/>
      <c r="AU128" s="623"/>
      <c r="AV128" s="575"/>
      <c r="AW128" s="610" t="s">
        <v>155</v>
      </c>
    </row>
    <row r="129" spans="1:49" ht="36" customHeight="1">
      <c r="A129" s="574">
        <v>79</v>
      </c>
      <c r="B129" s="575" t="s">
        <v>154</v>
      </c>
      <c r="C129" s="576" t="s">
        <v>73</v>
      </c>
      <c r="D129" s="575" t="s">
        <v>98</v>
      </c>
      <c r="E129" s="576" t="s">
        <v>75</v>
      </c>
      <c r="F129" s="576" t="s">
        <v>75</v>
      </c>
      <c r="G129" s="576" t="s">
        <v>75</v>
      </c>
      <c r="H129" s="576" t="s">
        <v>75</v>
      </c>
      <c r="I129" s="576" t="s">
        <v>75</v>
      </c>
      <c r="J129" s="576" t="s">
        <v>75</v>
      </c>
      <c r="K129" s="532"/>
      <c r="L129" s="532"/>
      <c r="M129" s="532"/>
      <c r="N129" s="532"/>
      <c r="O129" s="532"/>
      <c r="P129" s="532"/>
      <c r="Q129" s="526" t="s">
        <v>75</v>
      </c>
      <c r="R129" s="526" t="s">
        <v>75</v>
      </c>
      <c r="S129" s="532"/>
      <c r="T129" s="532"/>
      <c r="U129" s="527"/>
      <c r="V129" s="527"/>
      <c r="W129" s="527"/>
      <c r="X129" s="527"/>
      <c r="Y129" s="527"/>
      <c r="Z129" s="527"/>
      <c r="AA129" s="582"/>
      <c r="AB129" s="582"/>
      <c r="AC129" s="582"/>
      <c r="AD129" s="529">
        <v>101</v>
      </c>
      <c r="AE129" s="529"/>
      <c r="AF129" s="529">
        <f t="shared" si="23"/>
        <v>35</v>
      </c>
      <c r="AG129" s="529"/>
      <c r="AH129" s="529"/>
      <c r="AI129" s="579"/>
      <c r="AJ129" s="529"/>
      <c r="AK129" s="529"/>
      <c r="AL129" s="529"/>
      <c r="AM129" s="728">
        <v>66</v>
      </c>
      <c r="AN129" s="670"/>
      <c r="AO129" s="622"/>
      <c r="AP129" s="529"/>
      <c r="AQ129" s="529"/>
      <c r="AR129" s="529"/>
      <c r="AS129" s="529"/>
      <c r="AT129" s="623"/>
      <c r="AU129" s="623"/>
      <c r="AV129" s="575" t="s">
        <v>3365</v>
      </c>
      <c r="AW129" s="610" t="s">
        <v>155</v>
      </c>
    </row>
    <row r="130" spans="1:49" ht="36" customHeight="1">
      <c r="A130" s="574">
        <v>80</v>
      </c>
      <c r="B130" s="575" t="s">
        <v>3379</v>
      </c>
      <c r="C130" s="576" t="s">
        <v>3136</v>
      </c>
      <c r="D130" s="575" t="s">
        <v>85</v>
      </c>
      <c r="E130" s="576" t="s">
        <v>75</v>
      </c>
      <c r="F130" s="576" t="s">
        <v>75</v>
      </c>
      <c r="G130" s="576" t="s">
        <v>75</v>
      </c>
      <c r="H130" s="576" t="s">
        <v>75</v>
      </c>
      <c r="I130" s="576" t="s">
        <v>75</v>
      </c>
      <c r="J130" s="576" t="s">
        <v>75</v>
      </c>
      <c r="K130" s="576"/>
      <c r="L130" s="576"/>
      <c r="M130" s="532"/>
      <c r="N130" s="532"/>
      <c r="O130" s="532"/>
      <c r="P130" s="532"/>
      <c r="Q130" s="532"/>
      <c r="R130" s="532"/>
      <c r="S130" s="532"/>
      <c r="T130" s="532"/>
      <c r="U130" s="527"/>
      <c r="V130" s="527"/>
      <c r="W130" s="527"/>
      <c r="X130" s="527"/>
      <c r="Y130" s="527"/>
      <c r="Z130" s="527"/>
      <c r="AA130" s="527"/>
      <c r="AB130" s="527"/>
      <c r="AC130" s="527"/>
      <c r="AD130" s="530">
        <v>5040</v>
      </c>
      <c r="AE130" s="530"/>
      <c r="AF130" s="529">
        <f t="shared" ref="AF130:AF155" si="32">AD130-AM130</f>
        <v>4350</v>
      </c>
      <c r="AG130" s="530"/>
      <c r="AH130" s="530">
        <v>4600</v>
      </c>
      <c r="AI130" s="545">
        <v>0.15</v>
      </c>
      <c r="AJ130" s="530">
        <f>AH130*AI130</f>
        <v>690</v>
      </c>
      <c r="AK130" s="530">
        <v>740</v>
      </c>
      <c r="AL130" s="530">
        <f>AK130*7</f>
        <v>5180</v>
      </c>
      <c r="AM130" s="726">
        <f>AJ130</f>
        <v>690</v>
      </c>
      <c r="AN130" s="669">
        <v>460</v>
      </c>
      <c r="AO130" s="580">
        <f>AM130-AN130</f>
        <v>230</v>
      </c>
      <c r="AP130" s="530">
        <f>AO130/AN130</f>
        <v>0.5</v>
      </c>
      <c r="AQ130" s="590">
        <v>0.1</v>
      </c>
      <c r="AR130" s="587">
        <f>AH130*AQ130</f>
        <v>460</v>
      </c>
      <c r="AS130" s="587">
        <f>AN130-AR130</f>
        <v>0</v>
      </c>
      <c r="AT130" s="588"/>
      <c r="AU130" s="588"/>
      <c r="AV130" s="531"/>
      <c r="AW130" s="610"/>
    </row>
    <row r="131" spans="1:49" ht="36" customHeight="1">
      <c r="A131" s="524">
        <v>81</v>
      </c>
      <c r="B131" s="525" t="s">
        <v>3150</v>
      </c>
      <c r="C131" s="526" t="s">
        <v>129</v>
      </c>
      <c r="D131" s="525" t="s">
        <v>101</v>
      </c>
      <c r="E131" s="576" t="s">
        <v>75</v>
      </c>
      <c r="F131" s="576" t="s">
        <v>75</v>
      </c>
      <c r="G131" s="576" t="s">
        <v>75</v>
      </c>
      <c r="H131" s="576" t="s">
        <v>75</v>
      </c>
      <c r="I131" s="576" t="s">
        <v>75</v>
      </c>
      <c r="J131" s="576" t="s">
        <v>75</v>
      </c>
      <c r="K131" s="576" t="s">
        <v>75</v>
      </c>
      <c r="L131" s="526"/>
      <c r="M131" s="526"/>
      <c r="N131" s="526"/>
      <c r="O131" s="526"/>
      <c r="P131" s="526"/>
      <c r="Q131" s="526"/>
      <c r="R131" s="526" t="s">
        <v>75</v>
      </c>
      <c r="S131" s="526"/>
      <c r="T131" s="526"/>
      <c r="U131" s="526" t="s">
        <v>75</v>
      </c>
      <c r="V131" s="586"/>
      <c r="W131" s="586"/>
      <c r="X131" s="586"/>
      <c r="Y131" s="586"/>
      <c r="Z131" s="586"/>
      <c r="AA131" s="586"/>
      <c r="AB131" s="586"/>
      <c r="AC131" s="526"/>
      <c r="AD131" s="528">
        <v>30</v>
      </c>
      <c r="AE131" s="528"/>
      <c r="AF131" s="529">
        <f t="shared" si="32"/>
        <v>21.1</v>
      </c>
      <c r="AG131" s="528"/>
      <c r="AH131" s="528"/>
      <c r="AI131" s="593"/>
      <c r="AJ131" s="528"/>
      <c r="AK131" s="528"/>
      <c r="AL131" s="528"/>
      <c r="AM131" s="727">
        <v>8.9</v>
      </c>
      <c r="AN131" s="668"/>
      <c r="AO131" s="605"/>
      <c r="AP131" s="528"/>
      <c r="AQ131" s="528"/>
      <c r="AR131" s="528"/>
      <c r="AS131" s="528"/>
      <c r="AT131" s="606"/>
      <c r="AU131" s="606"/>
      <c r="AV131" s="525" t="s">
        <v>3149</v>
      </c>
      <c r="AW131" s="610" t="s">
        <v>137</v>
      </c>
    </row>
    <row r="132" spans="1:49" ht="36" customHeight="1">
      <c r="A132" s="524">
        <v>81</v>
      </c>
      <c r="B132" s="525" t="s">
        <v>136</v>
      </c>
      <c r="C132" s="526" t="s">
        <v>129</v>
      </c>
      <c r="D132" s="525" t="s">
        <v>98</v>
      </c>
      <c r="E132" s="576" t="s">
        <v>75</v>
      </c>
      <c r="F132" s="576" t="s">
        <v>75</v>
      </c>
      <c r="G132" s="576" t="s">
        <v>75</v>
      </c>
      <c r="H132" s="576" t="s">
        <v>75</v>
      </c>
      <c r="I132" s="576" t="s">
        <v>75</v>
      </c>
      <c r="J132" s="576" t="s">
        <v>75</v>
      </c>
      <c r="K132" s="526"/>
      <c r="L132" s="576" t="s">
        <v>75</v>
      </c>
      <c r="M132" s="526"/>
      <c r="N132" s="526"/>
      <c r="O132" s="526"/>
      <c r="P132" s="526"/>
      <c r="Q132" s="526"/>
      <c r="R132" s="526" t="s">
        <v>75</v>
      </c>
      <c r="S132" s="526"/>
      <c r="T132" s="526"/>
      <c r="U132" s="586"/>
      <c r="V132" s="576" t="s">
        <v>75</v>
      </c>
      <c r="W132" s="586"/>
      <c r="X132" s="586"/>
      <c r="Y132" s="586"/>
      <c r="Z132" s="586"/>
      <c r="AA132" s="586"/>
      <c r="AB132" s="586"/>
      <c r="AC132" s="526"/>
      <c r="AD132" s="528">
        <v>51</v>
      </c>
      <c r="AE132" s="528"/>
      <c r="AF132" s="529">
        <f t="shared" si="32"/>
        <v>44.3</v>
      </c>
      <c r="AG132" s="528"/>
      <c r="AH132" s="528"/>
      <c r="AI132" s="593"/>
      <c r="AJ132" s="528"/>
      <c r="AK132" s="528"/>
      <c r="AL132" s="528"/>
      <c r="AM132" s="727">
        <v>6.7</v>
      </c>
      <c r="AN132" s="668"/>
      <c r="AO132" s="605"/>
      <c r="AP132" s="528"/>
      <c r="AQ132" s="528"/>
      <c r="AR132" s="528"/>
      <c r="AS132" s="528"/>
      <c r="AT132" s="606"/>
      <c r="AU132" s="606"/>
      <c r="AV132" s="525" t="s">
        <v>3148</v>
      </c>
      <c r="AW132" s="610" t="s">
        <v>137</v>
      </c>
    </row>
    <row r="133" spans="1:49" ht="36" customHeight="1">
      <c r="A133" s="574">
        <v>82</v>
      </c>
      <c r="B133" s="575" t="s">
        <v>3457</v>
      </c>
      <c r="C133" s="576" t="s">
        <v>3140</v>
      </c>
      <c r="D133" s="575" t="s">
        <v>3125</v>
      </c>
      <c r="E133" s="576" t="s">
        <v>3129</v>
      </c>
      <c r="F133" s="576" t="s">
        <v>3129</v>
      </c>
      <c r="G133" s="576" t="s">
        <v>3129</v>
      </c>
      <c r="H133" s="576" t="s">
        <v>3129</v>
      </c>
      <c r="I133" s="576" t="s">
        <v>3141</v>
      </c>
      <c r="J133" s="576" t="s">
        <v>3129</v>
      </c>
      <c r="K133" s="576"/>
      <c r="L133" s="576"/>
      <c r="M133" s="576"/>
      <c r="N133" s="576"/>
      <c r="O133" s="576"/>
      <c r="P133" s="576"/>
      <c r="Q133" s="576" t="s">
        <v>3129</v>
      </c>
      <c r="R133" s="576" t="s">
        <v>3129</v>
      </c>
      <c r="S133" s="576"/>
      <c r="T133" s="576"/>
      <c r="U133" s="576"/>
      <c r="V133" s="576"/>
      <c r="W133" s="576"/>
      <c r="X133" s="576"/>
      <c r="Y133" s="576"/>
      <c r="Z133" s="576"/>
      <c r="AA133" s="576"/>
      <c r="AB133" s="527"/>
      <c r="AC133" s="527"/>
      <c r="AD133" s="530">
        <v>16002</v>
      </c>
      <c r="AE133" s="530"/>
      <c r="AF133" s="529">
        <f t="shared" si="32"/>
        <v>14402</v>
      </c>
      <c r="AG133" s="530"/>
      <c r="AH133" s="530">
        <f>2286*7</f>
        <v>16002</v>
      </c>
      <c r="AI133" s="545">
        <v>0.1</v>
      </c>
      <c r="AJ133" s="530">
        <f>AH133*AI133</f>
        <v>1600.2</v>
      </c>
      <c r="AK133" s="530">
        <v>684</v>
      </c>
      <c r="AL133" s="530">
        <f>AK133*7</f>
        <v>4788</v>
      </c>
      <c r="AM133" s="726">
        <v>1600</v>
      </c>
      <c r="AN133" s="736">
        <v>800</v>
      </c>
      <c r="AO133" s="580"/>
      <c r="AP133" s="530"/>
      <c r="AQ133" s="530">
        <f>AI133-5%</f>
        <v>0.05</v>
      </c>
      <c r="AR133" s="530">
        <f>AH133*AQ133</f>
        <v>800.1</v>
      </c>
      <c r="AS133" s="530">
        <f>AN133-AR133</f>
        <v>-0.10000000000002274</v>
      </c>
      <c r="AT133" s="581"/>
      <c r="AU133" s="581"/>
      <c r="AV133" s="531"/>
      <c r="AW133" s="610"/>
    </row>
    <row r="134" spans="1:49" ht="36" customHeight="1">
      <c r="A134" s="574">
        <v>83</v>
      </c>
      <c r="B134" s="531" t="s">
        <v>3417</v>
      </c>
      <c r="C134" s="526" t="s">
        <v>129</v>
      </c>
      <c r="D134" s="575" t="s">
        <v>3263</v>
      </c>
      <c r="E134" s="589" t="s">
        <v>3261</v>
      </c>
      <c r="F134" s="589" t="s">
        <v>3261</v>
      </c>
      <c r="G134" s="589" t="s">
        <v>3261</v>
      </c>
      <c r="H134" s="589" t="s">
        <v>3261</v>
      </c>
      <c r="I134" s="589" t="s">
        <v>3261</v>
      </c>
      <c r="J134" s="589" t="s">
        <v>3261</v>
      </c>
      <c r="K134" s="589"/>
      <c r="L134" s="589"/>
      <c r="M134" s="589"/>
      <c r="N134" s="589"/>
      <c r="O134" s="589"/>
      <c r="P134" s="589"/>
      <c r="Q134" s="589" t="s">
        <v>3261</v>
      </c>
      <c r="R134" s="589" t="s">
        <v>3261</v>
      </c>
      <c r="S134" s="589"/>
      <c r="T134" s="589"/>
      <c r="U134" s="527"/>
      <c r="V134" s="527"/>
      <c r="W134" s="527"/>
      <c r="X134" s="527"/>
      <c r="Y134" s="527"/>
      <c r="Z134" s="527"/>
      <c r="AA134" s="527"/>
      <c r="AB134" s="527"/>
      <c r="AC134" s="527"/>
      <c r="AD134" s="530">
        <v>1270</v>
      </c>
      <c r="AE134" s="530"/>
      <c r="AF134" s="529">
        <f t="shared" si="32"/>
        <v>725.8</v>
      </c>
      <c r="AG134" s="530"/>
      <c r="AH134" s="665">
        <v>5442</v>
      </c>
      <c r="AI134" s="545">
        <v>0.1</v>
      </c>
      <c r="AJ134" s="530">
        <f>AH134*AI134</f>
        <v>544.20000000000005</v>
      </c>
      <c r="AK134" s="530">
        <v>769</v>
      </c>
      <c r="AL134" s="530"/>
      <c r="AM134" s="726">
        <f>AJ134</f>
        <v>544.20000000000005</v>
      </c>
      <c r="AN134" s="669">
        <v>115</v>
      </c>
      <c r="AO134" s="580">
        <f t="shared" ref="AO134:AO135" si="33">AM134-AN134</f>
        <v>429.20000000000005</v>
      </c>
      <c r="AP134" s="530">
        <f t="shared" ref="AP134:AP135" si="34">AO134/AN134</f>
        <v>3.7321739130434786</v>
      </c>
      <c r="AQ134" s="590">
        <f t="shared" ref="AQ134" si="35">AI134-5%</f>
        <v>0.05</v>
      </c>
      <c r="AR134" s="587">
        <f t="shared" ref="AR134:AR135" si="36">AH134*AQ134</f>
        <v>272.10000000000002</v>
      </c>
      <c r="AS134" s="587">
        <f t="shared" ref="AS134:AS135" si="37">AN134-AR134</f>
        <v>-157.10000000000002</v>
      </c>
      <c r="AT134" s="588"/>
      <c r="AU134" s="588"/>
      <c r="AV134" s="531"/>
      <c r="AW134" s="610"/>
    </row>
    <row r="135" spans="1:49" ht="36" customHeight="1">
      <c r="A135" s="524">
        <v>84</v>
      </c>
      <c r="B135" s="525" t="s">
        <v>3418</v>
      </c>
      <c r="C135" s="526" t="s">
        <v>129</v>
      </c>
      <c r="D135" s="525" t="s">
        <v>85</v>
      </c>
      <c r="E135" s="576" t="s">
        <v>75</v>
      </c>
      <c r="F135" s="576" t="s">
        <v>75</v>
      </c>
      <c r="G135" s="576" t="s">
        <v>75</v>
      </c>
      <c r="H135" s="576" t="s">
        <v>75</v>
      </c>
      <c r="I135" s="576" t="s">
        <v>75</v>
      </c>
      <c r="J135" s="576" t="s">
        <v>75</v>
      </c>
      <c r="K135" s="526"/>
      <c r="L135" s="526"/>
      <c r="M135" s="526"/>
      <c r="N135" s="526"/>
      <c r="O135" s="526"/>
      <c r="P135" s="526"/>
      <c r="Q135" s="526" t="s">
        <v>75</v>
      </c>
      <c r="R135" s="526" t="s">
        <v>75</v>
      </c>
      <c r="S135" s="526"/>
      <c r="T135" s="526"/>
      <c r="U135" s="586"/>
      <c r="V135" s="586"/>
      <c r="W135" s="586"/>
      <c r="X135" s="586"/>
      <c r="Y135" s="586"/>
      <c r="Z135" s="586"/>
      <c r="AA135" s="586"/>
      <c r="AB135" s="586"/>
      <c r="AC135" s="586">
        <v>892</v>
      </c>
      <c r="AD135" s="528">
        <v>892</v>
      </c>
      <c r="AE135" s="528">
        <v>125.99759870047319</v>
      </c>
      <c r="AF135" s="529">
        <f t="shared" si="32"/>
        <v>0</v>
      </c>
      <c r="AG135" s="530"/>
      <c r="AH135" s="530">
        <f>AM135</f>
        <v>892</v>
      </c>
      <c r="AI135" s="545">
        <v>1</v>
      </c>
      <c r="AJ135" s="528">
        <v>892</v>
      </c>
      <c r="AK135" s="528">
        <v>127</v>
      </c>
      <c r="AL135" s="528">
        <v>889</v>
      </c>
      <c r="AM135" s="727">
        <v>892</v>
      </c>
      <c r="AN135" s="669">
        <v>892</v>
      </c>
      <c r="AO135" s="580">
        <f t="shared" si="33"/>
        <v>0</v>
      </c>
      <c r="AP135" s="530">
        <f t="shared" si="34"/>
        <v>0</v>
      </c>
      <c r="AQ135" s="590">
        <v>1</v>
      </c>
      <c r="AR135" s="587">
        <f t="shared" si="36"/>
        <v>892</v>
      </c>
      <c r="AS135" s="587">
        <f t="shared" si="37"/>
        <v>0</v>
      </c>
      <c r="AT135" s="588"/>
      <c r="AU135" s="588"/>
      <c r="AV135" s="525"/>
      <c r="AW135" s="610" t="s">
        <v>143</v>
      </c>
    </row>
    <row r="136" spans="1:49" ht="36" customHeight="1">
      <c r="A136" s="524">
        <v>85</v>
      </c>
      <c r="B136" s="525" t="s">
        <v>3458</v>
      </c>
      <c r="C136" s="576" t="s">
        <v>89</v>
      </c>
      <c r="D136" s="525" t="s">
        <v>85</v>
      </c>
      <c r="E136" s="576" t="s">
        <v>75</v>
      </c>
      <c r="F136" s="576" t="s">
        <v>75</v>
      </c>
      <c r="G136" s="576" t="s">
        <v>75</v>
      </c>
      <c r="H136" s="576" t="s">
        <v>75</v>
      </c>
      <c r="I136" s="576" t="s">
        <v>75</v>
      </c>
      <c r="J136" s="576" t="s">
        <v>75</v>
      </c>
      <c r="K136" s="542"/>
      <c r="L136" s="542"/>
      <c r="M136" s="542"/>
      <c r="N136" s="542"/>
      <c r="O136" s="542"/>
      <c r="P136" s="542"/>
      <c r="Q136" s="576" t="s">
        <v>75</v>
      </c>
      <c r="R136" s="576" t="s">
        <v>75</v>
      </c>
      <c r="S136" s="532"/>
      <c r="T136" s="532"/>
      <c r="U136" s="527"/>
      <c r="V136" s="527"/>
      <c r="W136" s="527"/>
      <c r="X136" s="527"/>
      <c r="Y136" s="527"/>
      <c r="Z136" s="527"/>
      <c r="AA136" s="527"/>
      <c r="AB136" s="527"/>
      <c r="AC136" s="527"/>
      <c r="AD136" s="528">
        <v>6580</v>
      </c>
      <c r="AE136" s="528">
        <v>974.53</v>
      </c>
      <c r="AF136" s="529">
        <f t="shared" si="32"/>
        <v>5593</v>
      </c>
      <c r="AG136" s="530"/>
      <c r="AH136" s="530">
        <v>6580</v>
      </c>
      <c r="AI136" s="545">
        <v>0.15</v>
      </c>
      <c r="AJ136" s="530">
        <f>AH136*AI136</f>
        <v>987</v>
      </c>
      <c r="AK136" s="530">
        <v>486</v>
      </c>
      <c r="AL136" s="530">
        <v>3402</v>
      </c>
      <c r="AM136" s="726">
        <f>AJ136</f>
        <v>987</v>
      </c>
      <c r="AN136" s="736">
        <v>681</v>
      </c>
      <c r="AO136" s="580"/>
      <c r="AP136" s="530"/>
      <c r="AQ136" s="530">
        <f>AI136-5%</f>
        <v>9.9999999999999992E-2</v>
      </c>
      <c r="AR136" s="530">
        <f>AH136*AQ136</f>
        <v>658</v>
      </c>
      <c r="AS136" s="530">
        <f>AN136-AR136</f>
        <v>23</v>
      </c>
      <c r="AT136" s="581"/>
      <c r="AU136" s="581"/>
      <c r="AV136" s="525"/>
      <c r="AW136" s="610"/>
    </row>
    <row r="137" spans="1:49" ht="36" customHeight="1">
      <c r="A137" s="574">
        <v>86</v>
      </c>
      <c r="B137" s="525" t="s">
        <v>3429</v>
      </c>
      <c r="C137" s="526" t="s">
        <v>134</v>
      </c>
      <c r="D137" s="525" t="s">
        <v>85</v>
      </c>
      <c r="E137" s="525" t="s">
        <v>75</v>
      </c>
      <c r="F137" s="525" t="s">
        <v>75</v>
      </c>
      <c r="G137" s="525" t="s">
        <v>75</v>
      </c>
      <c r="H137" s="525" t="s">
        <v>75</v>
      </c>
      <c r="I137" s="525" t="s">
        <v>75</v>
      </c>
      <c r="J137" s="525" t="s">
        <v>75</v>
      </c>
      <c r="K137" s="525"/>
      <c r="L137" s="525"/>
      <c r="M137" s="525"/>
      <c r="N137" s="525"/>
      <c r="O137" s="525"/>
      <c r="P137" s="525"/>
      <c r="Q137" s="525" t="s">
        <v>75</v>
      </c>
      <c r="R137" s="525" t="s">
        <v>75</v>
      </c>
      <c r="S137" s="525"/>
      <c r="T137" s="525"/>
      <c r="U137" s="527"/>
      <c r="V137" s="527"/>
      <c r="W137" s="527"/>
      <c r="X137" s="527"/>
      <c r="Y137" s="527"/>
      <c r="Z137" s="527"/>
      <c r="AA137" s="527"/>
      <c r="AB137" s="527"/>
      <c r="AC137" s="527"/>
      <c r="AD137" s="528">
        <v>3689</v>
      </c>
      <c r="AE137" s="528">
        <v>526.20000000000005</v>
      </c>
      <c r="AF137" s="529">
        <f t="shared" si="32"/>
        <v>1043</v>
      </c>
      <c r="AG137" s="530"/>
      <c r="AH137" s="530">
        <v>18250</v>
      </c>
      <c r="AI137" s="545">
        <v>0.15</v>
      </c>
      <c r="AJ137" s="528">
        <f>AH137*AI137</f>
        <v>2737.5</v>
      </c>
      <c r="AK137" s="530">
        <v>378</v>
      </c>
      <c r="AL137" s="678">
        <v>2646</v>
      </c>
      <c r="AM137" s="730">
        <f>AL137</f>
        <v>2646</v>
      </c>
      <c r="AN137" s="737">
        <v>1300</v>
      </c>
      <c r="AO137" s="631"/>
      <c r="AP137" s="630"/>
      <c r="AQ137" s="530">
        <f>AI137-5%</f>
        <v>9.9999999999999992E-2</v>
      </c>
      <c r="AR137" s="530">
        <f>AH137*AQ137</f>
        <v>1824.9999999999998</v>
      </c>
      <c r="AS137" s="530">
        <f>AN137-AR137</f>
        <v>-524.99999999999977</v>
      </c>
      <c r="AT137" s="632"/>
      <c r="AU137" s="632"/>
      <c r="AV137" s="592" t="s">
        <v>3465</v>
      </c>
      <c r="AW137" s="610" t="s">
        <v>3274</v>
      </c>
    </row>
    <row r="138" spans="1:49" ht="36" customHeight="1">
      <c r="A138" s="524">
        <v>87</v>
      </c>
      <c r="B138" s="575" t="s">
        <v>3380</v>
      </c>
      <c r="C138" s="576" t="s">
        <v>3366</v>
      </c>
      <c r="D138" s="575" t="s">
        <v>85</v>
      </c>
      <c r="E138" s="576" t="s">
        <v>75</v>
      </c>
      <c r="F138" s="576" t="s">
        <v>75</v>
      </c>
      <c r="G138" s="576" t="s">
        <v>75</v>
      </c>
      <c r="H138" s="576" t="s">
        <v>75</v>
      </c>
      <c r="I138" s="576" t="s">
        <v>75</v>
      </c>
      <c r="J138" s="576" t="s">
        <v>75</v>
      </c>
      <c r="K138" s="576"/>
      <c r="L138" s="576"/>
      <c r="M138" s="576"/>
      <c r="N138" s="576"/>
      <c r="O138" s="576"/>
      <c r="P138" s="576"/>
      <c r="Q138" s="576" t="s">
        <v>75</v>
      </c>
      <c r="R138" s="576" t="s">
        <v>75</v>
      </c>
      <c r="S138" s="576"/>
      <c r="T138" s="576"/>
      <c r="U138" s="582"/>
      <c r="V138" s="582"/>
      <c r="W138" s="582"/>
      <c r="X138" s="582"/>
      <c r="Y138" s="582"/>
      <c r="Z138" s="582"/>
      <c r="AA138" s="582"/>
      <c r="AB138" s="582"/>
      <c r="AC138" s="582">
        <v>2786.9023880200698</v>
      </c>
      <c r="AD138" s="529">
        <f>AE138*7</f>
        <v>448</v>
      </c>
      <c r="AE138" s="529">
        <v>64</v>
      </c>
      <c r="AF138" s="529">
        <f t="shared" si="32"/>
        <v>29.964641796989554</v>
      </c>
      <c r="AG138" s="529"/>
      <c r="AH138" s="529">
        <v>2786.9023880200698</v>
      </c>
      <c r="AI138" s="579">
        <v>0.15</v>
      </c>
      <c r="AJ138" s="529">
        <f>AH138*AI138</f>
        <v>418.03535820301045</v>
      </c>
      <c r="AK138" s="529">
        <v>420</v>
      </c>
      <c r="AL138" s="530">
        <f>AK138*7</f>
        <v>2940</v>
      </c>
      <c r="AM138" s="726">
        <f>AJ138</f>
        <v>418.03535820301045</v>
      </c>
      <c r="AN138" s="669">
        <v>278</v>
      </c>
      <c r="AO138" s="580">
        <f>AM138-AN138</f>
        <v>140.03535820301045</v>
      </c>
      <c r="AP138" s="530">
        <f>AO138/AN138</f>
        <v>0.50372431008277141</v>
      </c>
      <c r="AQ138" s="590">
        <f>AI138-5%</f>
        <v>9.9999999999999992E-2</v>
      </c>
      <c r="AR138" s="587">
        <f>AH138*AQ138</f>
        <v>278.69023880200695</v>
      </c>
      <c r="AS138" s="587">
        <f>AN138-AR138</f>
        <v>-0.69023880200694521</v>
      </c>
      <c r="AT138" s="588"/>
      <c r="AU138" s="588"/>
      <c r="AV138" s="575"/>
      <c r="AW138" s="610" t="s">
        <v>3181</v>
      </c>
    </row>
    <row r="139" spans="1:49" ht="36" customHeight="1">
      <c r="A139" s="574">
        <v>88</v>
      </c>
      <c r="B139" s="592" t="s">
        <v>3164</v>
      </c>
      <c r="C139" s="586" t="s">
        <v>134</v>
      </c>
      <c r="D139" s="592" t="s">
        <v>101</v>
      </c>
      <c r="E139" s="544" t="s">
        <v>75</v>
      </c>
      <c r="F139" s="544" t="s">
        <v>75</v>
      </c>
      <c r="G139" s="544" t="s">
        <v>75</v>
      </c>
      <c r="H139" s="544" t="s">
        <v>75</v>
      </c>
      <c r="I139" s="544" t="s">
        <v>75</v>
      </c>
      <c r="J139" s="544" t="s">
        <v>75</v>
      </c>
      <c r="K139" s="544" t="s">
        <v>75</v>
      </c>
      <c r="L139" s="544"/>
      <c r="M139" s="544"/>
      <c r="N139" s="544"/>
      <c r="O139" s="544"/>
      <c r="P139" s="544"/>
      <c r="Q139" s="542"/>
      <c r="R139" s="544" t="s">
        <v>75</v>
      </c>
      <c r="S139" s="544"/>
      <c r="T139" s="544"/>
      <c r="U139" s="527"/>
      <c r="V139" s="527"/>
      <c r="W139" s="527"/>
      <c r="X139" s="527"/>
      <c r="Y139" s="527"/>
      <c r="Z139" s="527"/>
      <c r="AA139" s="527"/>
      <c r="AB139" s="527"/>
      <c r="AC139" s="527"/>
      <c r="AD139" s="530">
        <v>4</v>
      </c>
      <c r="AE139" s="530"/>
      <c r="AF139" s="529">
        <f t="shared" si="32"/>
        <v>0.60000000000000009</v>
      </c>
      <c r="AG139" s="530"/>
      <c r="AH139" s="530"/>
      <c r="AI139" s="545"/>
      <c r="AJ139" s="530"/>
      <c r="AK139" s="530"/>
      <c r="AL139" s="530"/>
      <c r="AM139" s="730">
        <v>3.4</v>
      </c>
      <c r="AN139" s="737"/>
      <c r="AO139" s="631"/>
      <c r="AP139" s="630"/>
      <c r="AQ139" s="630"/>
      <c r="AR139" s="630"/>
      <c r="AS139" s="630"/>
      <c r="AT139" s="632"/>
      <c r="AU139" s="632"/>
      <c r="AV139" s="592" t="s">
        <v>3280</v>
      </c>
      <c r="AW139" s="610"/>
    </row>
    <row r="140" spans="1:49" ht="36" customHeight="1">
      <c r="A140" s="574">
        <v>88</v>
      </c>
      <c r="B140" s="592" t="s">
        <v>3164</v>
      </c>
      <c r="C140" s="586" t="s">
        <v>134</v>
      </c>
      <c r="D140" s="592" t="s">
        <v>98</v>
      </c>
      <c r="E140" s="544" t="s">
        <v>75</v>
      </c>
      <c r="F140" s="544" t="s">
        <v>75</v>
      </c>
      <c r="G140" s="544" t="s">
        <v>75</v>
      </c>
      <c r="H140" s="544" t="s">
        <v>75</v>
      </c>
      <c r="I140" s="544" t="s">
        <v>75</v>
      </c>
      <c r="J140" s="544" t="s">
        <v>75</v>
      </c>
      <c r="K140" s="544" t="s">
        <v>75</v>
      </c>
      <c r="L140" s="544" t="s">
        <v>3270</v>
      </c>
      <c r="M140" s="544"/>
      <c r="N140" s="544"/>
      <c r="O140" s="544"/>
      <c r="P140" s="544"/>
      <c r="Q140" s="544"/>
      <c r="R140" s="544" t="s">
        <v>75</v>
      </c>
      <c r="S140" s="544"/>
      <c r="T140" s="544"/>
      <c r="U140" s="527"/>
      <c r="V140" s="527"/>
      <c r="W140" s="527"/>
      <c r="X140" s="527"/>
      <c r="Y140" s="527"/>
      <c r="Z140" s="527"/>
      <c r="AA140" s="527"/>
      <c r="AB140" s="527"/>
      <c r="AC140" s="527"/>
      <c r="AD140" s="530">
        <v>26</v>
      </c>
      <c r="AE140" s="530"/>
      <c r="AF140" s="529">
        <f t="shared" si="32"/>
        <v>19</v>
      </c>
      <c r="AG140" s="530"/>
      <c r="AH140" s="530"/>
      <c r="AI140" s="545"/>
      <c r="AJ140" s="530"/>
      <c r="AK140" s="530"/>
      <c r="AL140" s="530"/>
      <c r="AM140" s="730">
        <v>7</v>
      </c>
      <c r="AN140" s="737"/>
      <c r="AO140" s="631"/>
      <c r="AP140" s="630"/>
      <c r="AQ140" s="630"/>
      <c r="AR140" s="630"/>
      <c r="AS140" s="630"/>
      <c r="AT140" s="632"/>
      <c r="AU140" s="632"/>
      <c r="AV140" s="592" t="s">
        <v>3281</v>
      </c>
      <c r="AW140" s="610"/>
    </row>
    <row r="141" spans="1:49" ht="36" customHeight="1">
      <c r="A141" s="574">
        <v>88</v>
      </c>
      <c r="B141" s="592" t="s">
        <v>3430</v>
      </c>
      <c r="C141" s="586" t="s">
        <v>134</v>
      </c>
      <c r="D141" s="592" t="s">
        <v>85</v>
      </c>
      <c r="E141" s="544" t="s">
        <v>75</v>
      </c>
      <c r="F141" s="544" t="s">
        <v>75</v>
      </c>
      <c r="G141" s="544" t="s">
        <v>75</v>
      </c>
      <c r="H141" s="544" t="s">
        <v>75</v>
      </c>
      <c r="I141" s="544" t="s">
        <v>75</v>
      </c>
      <c r="J141" s="544" t="s">
        <v>75</v>
      </c>
      <c r="K141" s="544" t="s">
        <v>75</v>
      </c>
      <c r="L141" s="544"/>
      <c r="M141" s="544"/>
      <c r="N141" s="544"/>
      <c r="O141" s="544"/>
      <c r="P141" s="544"/>
      <c r="Q141" s="544" t="s">
        <v>75</v>
      </c>
      <c r="R141" s="544" t="s">
        <v>75</v>
      </c>
      <c r="S141" s="544"/>
      <c r="T141" s="544"/>
      <c r="U141" s="527"/>
      <c r="V141" s="527"/>
      <c r="W141" s="527"/>
      <c r="X141" s="527"/>
      <c r="Y141" s="527"/>
      <c r="Z141" s="527"/>
      <c r="AA141" s="527"/>
      <c r="AB141" s="527"/>
      <c r="AC141" s="527"/>
      <c r="AD141" s="530">
        <v>17227</v>
      </c>
      <c r="AE141" s="530"/>
      <c r="AF141" s="529">
        <f t="shared" si="32"/>
        <v>16521</v>
      </c>
      <c r="AG141" s="530"/>
      <c r="AH141" s="530">
        <v>8831.3750000000018</v>
      </c>
      <c r="AI141" s="545">
        <v>0.08</v>
      </c>
      <c r="AJ141" s="530">
        <f>AH141*AI141</f>
        <v>706.5100000000001</v>
      </c>
      <c r="AK141" s="530">
        <v>2814</v>
      </c>
      <c r="AL141" s="678"/>
      <c r="AM141" s="730">
        <v>706</v>
      </c>
      <c r="AN141" s="737">
        <v>469</v>
      </c>
      <c r="AO141" s="631"/>
      <c r="AP141" s="630"/>
      <c r="AQ141" s="530">
        <v>0.05</v>
      </c>
      <c r="AR141" s="530">
        <f>AH141*AQ141</f>
        <v>441.56875000000014</v>
      </c>
      <c r="AS141" s="530">
        <f>AN141-AR141</f>
        <v>27.431249999999864</v>
      </c>
      <c r="AT141" s="632"/>
      <c r="AU141" s="632"/>
      <c r="AV141" s="592" t="s">
        <v>3282</v>
      </c>
      <c r="AW141" s="610"/>
    </row>
    <row r="142" spans="1:49" ht="36" customHeight="1">
      <c r="A142" s="574">
        <v>89</v>
      </c>
      <c r="B142" s="531" t="s">
        <v>3118</v>
      </c>
      <c r="C142" s="603" t="s">
        <v>134</v>
      </c>
      <c r="D142" s="575" t="s">
        <v>101</v>
      </c>
      <c r="E142" s="532" t="s">
        <v>75</v>
      </c>
      <c r="F142" s="532" t="s">
        <v>75</v>
      </c>
      <c r="G142" s="532" t="s">
        <v>75</v>
      </c>
      <c r="H142" s="532" t="s">
        <v>75</v>
      </c>
      <c r="I142" s="532" t="s">
        <v>75</v>
      </c>
      <c r="J142" s="532" t="s">
        <v>75</v>
      </c>
      <c r="K142" s="532" t="s">
        <v>75</v>
      </c>
      <c r="L142" s="532"/>
      <c r="M142" s="532"/>
      <c r="N142" s="532"/>
      <c r="O142" s="532"/>
      <c r="P142" s="532"/>
      <c r="Q142" s="532"/>
      <c r="R142" s="532" t="s">
        <v>75</v>
      </c>
      <c r="S142" s="532"/>
      <c r="T142" s="532"/>
      <c r="U142" s="527"/>
      <c r="V142" s="527"/>
      <c r="W142" s="527"/>
      <c r="X142" s="527"/>
      <c r="Y142" s="527"/>
      <c r="Z142" s="527"/>
      <c r="AA142" s="527"/>
      <c r="AB142" s="527"/>
      <c r="AC142" s="527"/>
      <c r="AD142" s="530">
        <v>3.6</v>
      </c>
      <c r="AE142" s="530"/>
      <c r="AF142" s="529">
        <f t="shared" si="32"/>
        <v>0.60000000000000009</v>
      </c>
      <c r="AG142" s="530"/>
      <c r="AH142" s="530"/>
      <c r="AI142" s="545"/>
      <c r="AJ142" s="530">
        <f t="shared" ref="AJ142:AJ143" si="38">AH142*AI142</f>
        <v>0</v>
      </c>
      <c r="AK142" s="530"/>
      <c r="AL142" s="530"/>
      <c r="AM142" s="730">
        <v>3</v>
      </c>
      <c r="AN142" s="737"/>
      <c r="AO142" s="631"/>
      <c r="AP142" s="630"/>
      <c r="AQ142" s="630"/>
      <c r="AR142" s="630"/>
      <c r="AS142" s="630"/>
      <c r="AT142" s="632"/>
      <c r="AU142" s="632"/>
      <c r="AV142" s="531" t="s">
        <v>3279</v>
      </c>
      <c r="AW142" s="610"/>
    </row>
    <row r="143" spans="1:49" ht="36" customHeight="1">
      <c r="A143" s="574">
        <v>89</v>
      </c>
      <c r="B143" s="531" t="s">
        <v>3431</v>
      </c>
      <c r="C143" s="603" t="s">
        <v>134</v>
      </c>
      <c r="D143" s="575" t="s">
        <v>85</v>
      </c>
      <c r="E143" s="532" t="s">
        <v>75</v>
      </c>
      <c r="F143" s="532" t="s">
        <v>75</v>
      </c>
      <c r="G143" s="532" t="s">
        <v>75</v>
      </c>
      <c r="H143" s="532" t="s">
        <v>75</v>
      </c>
      <c r="I143" s="532" t="s">
        <v>75</v>
      </c>
      <c r="J143" s="532" t="s">
        <v>75</v>
      </c>
      <c r="K143" s="532"/>
      <c r="L143" s="532"/>
      <c r="M143" s="532"/>
      <c r="N143" s="532"/>
      <c r="O143" s="532"/>
      <c r="P143" s="532"/>
      <c r="Q143" s="532" t="s">
        <v>75</v>
      </c>
      <c r="R143" s="532" t="s">
        <v>75</v>
      </c>
      <c r="S143" s="532"/>
      <c r="T143" s="532"/>
      <c r="U143" s="532"/>
      <c r="V143" s="532"/>
      <c r="W143" s="532"/>
      <c r="X143" s="532"/>
      <c r="Y143" s="532"/>
      <c r="Z143" s="532"/>
      <c r="AA143" s="532"/>
      <c r="AB143" s="532"/>
      <c r="AC143" s="532"/>
      <c r="AD143" s="530">
        <v>2541</v>
      </c>
      <c r="AE143" s="530"/>
      <c r="AF143" s="529">
        <f t="shared" si="32"/>
        <v>-8</v>
      </c>
      <c r="AG143" s="530"/>
      <c r="AH143" s="530">
        <v>16997</v>
      </c>
      <c r="AI143" s="545">
        <v>0.15</v>
      </c>
      <c r="AJ143" s="530">
        <f t="shared" si="38"/>
        <v>2549.5499999999997</v>
      </c>
      <c r="AK143" s="529">
        <v>885</v>
      </c>
      <c r="AL143" s="679">
        <v>6195</v>
      </c>
      <c r="AM143" s="730">
        <v>2549</v>
      </c>
      <c r="AN143" s="737">
        <v>1699</v>
      </c>
      <c r="AO143" s="631"/>
      <c r="AP143" s="630"/>
      <c r="AQ143" s="530">
        <f>AI143-5%</f>
        <v>9.9999999999999992E-2</v>
      </c>
      <c r="AR143" s="530">
        <f>AH143*AQ143</f>
        <v>1699.6999999999998</v>
      </c>
      <c r="AS143" s="530">
        <f>AN143-AR143</f>
        <v>-0.6999999999998181</v>
      </c>
      <c r="AT143" s="632"/>
      <c r="AU143" s="632"/>
      <c r="AV143" s="531"/>
      <c r="AW143" s="610"/>
    </row>
    <row r="144" spans="1:49" ht="36" customHeight="1">
      <c r="A144" s="574">
        <v>90</v>
      </c>
      <c r="B144" s="525" t="s">
        <v>3371</v>
      </c>
      <c r="C144" s="526" t="s">
        <v>129</v>
      </c>
      <c r="D144" s="525" t="s">
        <v>101</v>
      </c>
      <c r="E144" s="525" t="s">
        <v>75</v>
      </c>
      <c r="F144" s="525" t="s">
        <v>75</v>
      </c>
      <c r="G144" s="525" t="s">
        <v>75</v>
      </c>
      <c r="H144" s="525" t="s">
        <v>3255</v>
      </c>
      <c r="I144" s="525" t="s">
        <v>75</v>
      </c>
      <c r="J144" s="525" t="s">
        <v>3255</v>
      </c>
      <c r="K144" s="525" t="s">
        <v>75</v>
      </c>
      <c r="L144" s="542"/>
      <c r="M144" s="525"/>
      <c r="N144" s="542"/>
      <c r="O144" s="542"/>
      <c r="P144" s="525"/>
      <c r="Q144" s="525"/>
      <c r="R144" s="525" t="s">
        <v>75</v>
      </c>
      <c r="S144" s="525"/>
      <c r="T144" s="525"/>
      <c r="U144" s="527"/>
      <c r="V144" s="527"/>
      <c r="W144" s="527"/>
      <c r="X144" s="527"/>
      <c r="Y144" s="527"/>
      <c r="Z144" s="527"/>
      <c r="AA144" s="527"/>
      <c r="AB144" s="527"/>
      <c r="AC144" s="527"/>
      <c r="AD144" s="530">
        <v>4</v>
      </c>
      <c r="AE144" s="530"/>
      <c r="AF144" s="529">
        <f t="shared" si="32"/>
        <v>0.29999999999999982</v>
      </c>
      <c r="AG144" s="530"/>
      <c r="AH144" s="530"/>
      <c r="AI144" s="545"/>
      <c r="AJ144" s="530"/>
      <c r="AK144" s="530"/>
      <c r="AL144" s="530"/>
      <c r="AM144" s="727">
        <v>3.7</v>
      </c>
      <c r="AN144" s="668"/>
      <c r="AO144" s="605"/>
      <c r="AP144" s="528"/>
      <c r="AQ144" s="528"/>
      <c r="AR144" s="528"/>
      <c r="AS144" s="528"/>
      <c r="AT144" s="606"/>
      <c r="AU144" s="606"/>
      <c r="AV144" s="531"/>
      <c r="AW144" s="610"/>
    </row>
    <row r="145" spans="1:49" ht="36" customHeight="1">
      <c r="A145" s="574">
        <v>90</v>
      </c>
      <c r="B145" s="525" t="s">
        <v>3371</v>
      </c>
      <c r="C145" s="526" t="s">
        <v>129</v>
      </c>
      <c r="D145" s="525" t="s">
        <v>104</v>
      </c>
      <c r="E145" s="525" t="s">
        <v>75</v>
      </c>
      <c r="F145" s="525" t="s">
        <v>75</v>
      </c>
      <c r="G145" s="525" t="s">
        <v>75</v>
      </c>
      <c r="H145" s="525" t="s">
        <v>3255</v>
      </c>
      <c r="I145" s="525" t="s">
        <v>75</v>
      </c>
      <c r="J145" s="525" t="s">
        <v>3255</v>
      </c>
      <c r="K145" s="525"/>
      <c r="L145" s="542"/>
      <c r="M145" s="525"/>
      <c r="N145" s="525" t="s">
        <v>3267</v>
      </c>
      <c r="O145" s="525"/>
      <c r="P145" s="525"/>
      <c r="Q145" s="525"/>
      <c r="R145" s="525" t="s">
        <v>75</v>
      </c>
      <c r="S145" s="525"/>
      <c r="T145" s="525"/>
      <c r="U145" s="527"/>
      <c r="V145" s="527"/>
      <c r="W145" s="527"/>
      <c r="X145" s="527"/>
      <c r="Y145" s="527"/>
      <c r="Z145" s="527"/>
      <c r="AA145" s="527"/>
      <c r="AB145" s="527"/>
      <c r="AC145" s="527"/>
      <c r="AD145" s="530">
        <v>30</v>
      </c>
      <c r="AE145" s="530"/>
      <c r="AF145" s="529">
        <f t="shared" si="32"/>
        <v>0</v>
      </c>
      <c r="AG145" s="530"/>
      <c r="AH145" s="530"/>
      <c r="AI145" s="545"/>
      <c r="AJ145" s="530"/>
      <c r="AK145" s="530"/>
      <c r="AL145" s="530"/>
      <c r="AM145" s="727">
        <v>30</v>
      </c>
      <c r="AN145" s="668"/>
      <c r="AO145" s="605"/>
      <c r="AP145" s="528"/>
      <c r="AQ145" s="528"/>
      <c r="AR145" s="528"/>
      <c r="AS145" s="528"/>
      <c r="AT145" s="606"/>
      <c r="AU145" s="606"/>
      <c r="AV145" s="577"/>
      <c r="AW145" s="610"/>
    </row>
    <row r="146" spans="1:49" ht="36" customHeight="1">
      <c r="A146" s="574">
        <v>90</v>
      </c>
      <c r="B146" s="525" t="s">
        <v>3371</v>
      </c>
      <c r="C146" s="526" t="s">
        <v>129</v>
      </c>
      <c r="D146" s="525" t="s">
        <v>98</v>
      </c>
      <c r="E146" s="525" t="s">
        <v>75</v>
      </c>
      <c r="F146" s="525" t="s">
        <v>75</v>
      </c>
      <c r="G146" s="525" t="s">
        <v>75</v>
      </c>
      <c r="H146" s="525" t="s">
        <v>3255</v>
      </c>
      <c r="I146" s="525" t="s">
        <v>75</v>
      </c>
      <c r="J146" s="525" t="s">
        <v>3255</v>
      </c>
      <c r="K146" s="525"/>
      <c r="L146" s="525" t="s">
        <v>75</v>
      </c>
      <c r="M146" s="525"/>
      <c r="N146" s="525"/>
      <c r="O146" s="525"/>
      <c r="P146" s="525"/>
      <c r="Q146" s="525"/>
      <c r="R146" s="525" t="s">
        <v>75</v>
      </c>
      <c r="S146" s="525"/>
      <c r="T146" s="525"/>
      <c r="U146" s="525"/>
      <c r="V146" s="525"/>
      <c r="W146" s="525"/>
      <c r="X146" s="525"/>
      <c r="Y146" s="525"/>
      <c r="Z146" s="525"/>
      <c r="AA146" s="525"/>
      <c r="AB146" s="525"/>
      <c r="AC146" s="525"/>
      <c r="AD146" s="528">
        <v>22</v>
      </c>
      <c r="AE146" s="528"/>
      <c r="AF146" s="529">
        <f t="shared" si="32"/>
        <v>10</v>
      </c>
      <c r="AG146" s="530"/>
      <c r="AH146" s="530"/>
      <c r="AI146" s="545"/>
      <c r="AJ146" s="528"/>
      <c r="AK146" s="528"/>
      <c r="AL146" s="528"/>
      <c r="AM146" s="727">
        <v>12</v>
      </c>
      <c r="AN146" s="668"/>
      <c r="AO146" s="605"/>
      <c r="AP146" s="528"/>
      <c r="AQ146" s="528"/>
      <c r="AR146" s="528"/>
      <c r="AS146" s="528"/>
      <c r="AT146" s="606"/>
      <c r="AU146" s="606"/>
      <c r="AV146" s="525" t="s">
        <v>3372</v>
      </c>
      <c r="AW146" s="610"/>
    </row>
    <row r="147" spans="1:49" ht="36" customHeight="1">
      <c r="A147" s="574">
        <v>90</v>
      </c>
      <c r="B147" s="525" t="s">
        <v>3266</v>
      </c>
      <c r="C147" s="526" t="s">
        <v>129</v>
      </c>
      <c r="D147" s="525" t="s">
        <v>3367</v>
      </c>
      <c r="E147" s="525" t="s">
        <v>75</v>
      </c>
      <c r="F147" s="525" t="s">
        <v>75</v>
      </c>
      <c r="G147" s="525" t="s">
        <v>75</v>
      </c>
      <c r="H147" s="525" t="s">
        <v>3255</v>
      </c>
      <c r="I147" s="542"/>
      <c r="J147" s="525" t="s">
        <v>3255</v>
      </c>
      <c r="K147" s="525"/>
      <c r="L147" s="525"/>
      <c r="M147" s="525"/>
      <c r="N147" s="525"/>
      <c r="O147" s="525" t="s">
        <v>3267</v>
      </c>
      <c r="P147" s="525"/>
      <c r="Q147" s="525"/>
      <c r="R147" s="525" t="s">
        <v>75</v>
      </c>
      <c r="S147" s="525"/>
      <c r="T147" s="525"/>
      <c r="U147" s="525"/>
      <c r="V147" s="525"/>
      <c r="W147" s="525"/>
      <c r="X147" s="525"/>
      <c r="Y147" s="525"/>
      <c r="Z147" s="525"/>
      <c r="AA147" s="525"/>
      <c r="AB147" s="525"/>
      <c r="AC147" s="525"/>
      <c r="AD147" s="528"/>
      <c r="AE147" s="528"/>
      <c r="AF147" s="529">
        <f t="shared" si="32"/>
        <v>0</v>
      </c>
      <c r="AG147" s="530"/>
      <c r="AH147" s="530"/>
      <c r="AI147" s="545"/>
      <c r="AJ147" s="528"/>
      <c r="AK147" s="528"/>
      <c r="AL147" s="528"/>
      <c r="AM147" s="727">
        <v>0</v>
      </c>
      <c r="AN147" s="668"/>
      <c r="AO147" s="605"/>
      <c r="AP147" s="528"/>
      <c r="AQ147" s="528"/>
      <c r="AR147" s="528"/>
      <c r="AS147" s="528"/>
      <c r="AT147" s="606"/>
      <c r="AU147" s="606"/>
      <c r="AV147" s="577" t="s">
        <v>3300</v>
      </c>
      <c r="AW147" s="610"/>
    </row>
    <row r="148" spans="1:49" ht="36" customHeight="1">
      <c r="A148" s="574">
        <v>91</v>
      </c>
      <c r="B148" s="575" t="s">
        <v>3459</v>
      </c>
      <c r="C148" s="576" t="s">
        <v>89</v>
      </c>
      <c r="D148" s="575" t="s">
        <v>85</v>
      </c>
      <c r="E148" s="576" t="s">
        <v>75</v>
      </c>
      <c r="F148" s="576" t="s">
        <v>3138</v>
      </c>
      <c r="G148" s="576" t="s">
        <v>75</v>
      </c>
      <c r="H148" s="576" t="s">
        <v>75</v>
      </c>
      <c r="I148" s="576" t="s">
        <v>75</v>
      </c>
      <c r="J148" s="576" t="s">
        <v>75</v>
      </c>
      <c r="K148" s="576"/>
      <c r="L148" s="576"/>
      <c r="M148" s="576"/>
      <c r="N148" s="576"/>
      <c r="O148" s="576"/>
      <c r="P148" s="576"/>
      <c r="Q148" s="576" t="s">
        <v>75</v>
      </c>
      <c r="R148" s="576" t="s">
        <v>75</v>
      </c>
      <c r="S148" s="532"/>
      <c r="T148" s="532"/>
      <c r="U148" s="527"/>
      <c r="V148" s="527"/>
      <c r="W148" s="527"/>
      <c r="X148" s="527"/>
      <c r="Y148" s="527"/>
      <c r="Z148" s="527"/>
      <c r="AA148" s="527"/>
      <c r="AB148" s="527"/>
      <c r="AC148" s="527"/>
      <c r="AD148" s="530">
        <v>3122</v>
      </c>
      <c r="AE148" s="530">
        <v>446</v>
      </c>
      <c r="AF148" s="529">
        <f t="shared" si="32"/>
        <v>1877</v>
      </c>
      <c r="AG148" s="530"/>
      <c r="AH148" s="530">
        <v>12450</v>
      </c>
      <c r="AI148" s="545">
        <v>0.1</v>
      </c>
      <c r="AJ148" s="530">
        <v>1245</v>
      </c>
      <c r="AK148" s="530">
        <v>583</v>
      </c>
      <c r="AL148" s="530">
        <v>4081</v>
      </c>
      <c r="AM148" s="726">
        <f>AJ148</f>
        <v>1245</v>
      </c>
      <c r="AN148" s="736">
        <v>623</v>
      </c>
      <c r="AO148" s="580"/>
      <c r="AP148" s="530"/>
      <c r="AQ148" s="530">
        <f>AI148-5%</f>
        <v>0.05</v>
      </c>
      <c r="AR148" s="530">
        <f>AH148*AQ148</f>
        <v>622.5</v>
      </c>
      <c r="AS148" s="530">
        <f>AN148-AR148</f>
        <v>0.5</v>
      </c>
      <c r="AT148" s="581"/>
      <c r="AU148" s="581"/>
      <c r="AV148" s="531"/>
      <c r="AW148" s="610"/>
    </row>
    <row r="149" spans="1:49" ht="36" customHeight="1">
      <c r="A149" s="574">
        <v>92</v>
      </c>
      <c r="B149" s="740" t="s">
        <v>3381</v>
      </c>
      <c r="C149" s="576" t="s">
        <v>129</v>
      </c>
      <c r="D149" s="575" t="s">
        <v>85</v>
      </c>
      <c r="E149" s="576" t="s">
        <v>75</v>
      </c>
      <c r="F149" s="576" t="s">
        <v>75</v>
      </c>
      <c r="G149" s="576" t="s">
        <v>75</v>
      </c>
      <c r="H149" s="576" t="s">
        <v>75</v>
      </c>
      <c r="I149" s="576" t="s">
        <v>75</v>
      </c>
      <c r="J149" s="589"/>
      <c r="K149" s="589"/>
      <c r="L149" s="589"/>
      <c r="M149" s="589"/>
      <c r="N149" s="589"/>
      <c r="O149" s="589"/>
      <c r="P149" s="589" t="s">
        <v>75</v>
      </c>
      <c r="Q149" s="589" t="s">
        <v>75</v>
      </c>
      <c r="R149" s="589"/>
      <c r="S149" s="589"/>
      <c r="T149" s="600"/>
      <c r="U149" s="600"/>
      <c r="V149" s="600"/>
      <c r="W149" s="600"/>
      <c r="X149" s="600"/>
      <c r="Y149" s="600"/>
      <c r="Z149" s="600">
        <v>1804512</v>
      </c>
      <c r="AA149" s="600"/>
      <c r="AB149" s="600"/>
      <c r="AC149" s="600">
        <v>3525</v>
      </c>
      <c r="AD149" s="529">
        <v>1234</v>
      </c>
      <c r="AE149" s="529"/>
      <c r="AF149" s="529">
        <f t="shared" si="32"/>
        <v>660</v>
      </c>
      <c r="AG149" s="530"/>
      <c r="AH149" s="665">
        <v>5740</v>
      </c>
      <c r="AI149" s="545">
        <v>0.1</v>
      </c>
      <c r="AJ149" s="530">
        <f>AH149*AI149</f>
        <v>574</v>
      </c>
      <c r="AK149" s="530">
        <v>2196.16</v>
      </c>
      <c r="AL149" s="530">
        <v>15373.119999999999</v>
      </c>
      <c r="AM149" s="726">
        <f>AJ149</f>
        <v>574</v>
      </c>
      <c r="AN149" s="669">
        <v>471</v>
      </c>
      <c r="AO149" s="580">
        <f t="shared" ref="AO149:AO151" si="39">AM149-AN149</f>
        <v>103</v>
      </c>
      <c r="AP149" s="530">
        <f t="shared" ref="AP149:AP151" si="40">AO149/AN149</f>
        <v>0.21868365180467092</v>
      </c>
      <c r="AQ149" s="590">
        <f t="shared" ref="AQ149:AQ151" si="41">AI149-5%</f>
        <v>0.05</v>
      </c>
      <c r="AR149" s="587">
        <f t="shared" ref="AR149:AR151" si="42">AH149*AQ149</f>
        <v>287</v>
      </c>
      <c r="AS149" s="587">
        <f t="shared" ref="AS149:AS151" si="43">AN149-AR149</f>
        <v>184</v>
      </c>
      <c r="AT149" s="588"/>
      <c r="AU149" s="588"/>
      <c r="AV149" s="531" t="s">
        <v>3368</v>
      </c>
      <c r="AW149" s="610"/>
    </row>
    <row r="150" spans="1:49" ht="36" customHeight="1">
      <c r="A150" s="574">
        <v>93</v>
      </c>
      <c r="B150" s="592" t="s">
        <v>3382</v>
      </c>
      <c r="C150" s="586" t="s">
        <v>129</v>
      </c>
      <c r="D150" s="592" t="s">
        <v>85</v>
      </c>
      <c r="E150" s="544" t="s">
        <v>75</v>
      </c>
      <c r="F150" s="544" t="s">
        <v>75</v>
      </c>
      <c r="G150" s="544" t="s">
        <v>75</v>
      </c>
      <c r="H150" s="544" t="s">
        <v>75</v>
      </c>
      <c r="I150" s="544" t="s">
        <v>75</v>
      </c>
      <c r="J150" s="544" t="s">
        <v>75</v>
      </c>
      <c r="K150" s="544"/>
      <c r="L150" s="544"/>
      <c r="M150" s="544"/>
      <c r="N150" s="544"/>
      <c r="O150" s="544"/>
      <c r="P150" s="544"/>
      <c r="Q150" s="544" t="s">
        <v>75</v>
      </c>
      <c r="R150" s="544" t="s">
        <v>75</v>
      </c>
      <c r="S150" s="532"/>
      <c r="T150" s="532"/>
      <c r="U150" s="527"/>
      <c r="V150" s="527"/>
      <c r="W150" s="527"/>
      <c r="X150" s="527"/>
      <c r="Y150" s="527"/>
      <c r="Z150" s="527"/>
      <c r="AA150" s="527"/>
      <c r="AB150" s="527"/>
      <c r="AC150" s="527"/>
      <c r="AD150" s="530">
        <v>2190</v>
      </c>
      <c r="AE150" s="530"/>
      <c r="AF150" s="529">
        <f t="shared" si="32"/>
        <v>1526</v>
      </c>
      <c r="AG150" s="530"/>
      <c r="AH150" s="530">
        <v>4428</v>
      </c>
      <c r="AI150" s="545">
        <v>0.15</v>
      </c>
      <c r="AJ150" s="530">
        <f>AH150*AI150</f>
        <v>664.19999999999993</v>
      </c>
      <c r="AK150" s="530">
        <v>340</v>
      </c>
      <c r="AL150" s="530">
        <f>AK150*7</f>
        <v>2380</v>
      </c>
      <c r="AM150" s="726">
        <v>664</v>
      </c>
      <c r="AN150" s="669">
        <v>442.79999999999995</v>
      </c>
      <c r="AO150" s="580">
        <f t="shared" si="39"/>
        <v>221.20000000000005</v>
      </c>
      <c r="AP150" s="530">
        <f t="shared" si="40"/>
        <v>0.49954832881662165</v>
      </c>
      <c r="AQ150" s="590">
        <f t="shared" si="41"/>
        <v>9.9999999999999992E-2</v>
      </c>
      <c r="AR150" s="587">
        <f t="shared" si="42"/>
        <v>442.79999999999995</v>
      </c>
      <c r="AS150" s="587">
        <f t="shared" si="43"/>
        <v>0</v>
      </c>
      <c r="AT150" s="588"/>
      <c r="AU150" s="588"/>
      <c r="AV150" s="531" t="s">
        <v>3139</v>
      </c>
      <c r="AW150" s="610"/>
    </row>
    <row r="151" spans="1:49" ht="36" customHeight="1">
      <c r="A151" s="574">
        <v>94</v>
      </c>
      <c r="B151" s="575" t="s">
        <v>3395</v>
      </c>
      <c r="C151" s="576" t="s">
        <v>3130</v>
      </c>
      <c r="D151" s="575" t="s">
        <v>3125</v>
      </c>
      <c r="E151" s="576" t="s">
        <v>3129</v>
      </c>
      <c r="F151" s="576" t="s">
        <v>3129</v>
      </c>
      <c r="G151" s="576" t="s">
        <v>3129</v>
      </c>
      <c r="H151" s="576" t="s">
        <v>3129</v>
      </c>
      <c r="I151" s="576" t="s">
        <v>3129</v>
      </c>
      <c r="J151" s="576" t="s">
        <v>3129</v>
      </c>
      <c r="K151" s="576"/>
      <c r="L151" s="576"/>
      <c r="M151" s="576"/>
      <c r="N151" s="576"/>
      <c r="O151" s="576"/>
      <c r="P151" s="576"/>
      <c r="Q151" s="576" t="s">
        <v>3129</v>
      </c>
      <c r="R151" s="576" t="s">
        <v>3129</v>
      </c>
      <c r="S151" s="576"/>
      <c r="T151" s="532"/>
      <c r="U151" s="527"/>
      <c r="V151" s="527"/>
      <c r="W151" s="527"/>
      <c r="X151" s="527"/>
      <c r="Y151" s="527"/>
      <c r="Z151" s="527"/>
      <c r="AA151" s="527"/>
      <c r="AB151" s="527"/>
      <c r="AC151" s="527"/>
      <c r="AD151" s="530">
        <v>1923.6</v>
      </c>
      <c r="AE151" s="530"/>
      <c r="AF151" s="529">
        <f t="shared" si="32"/>
        <v>9.5999999999999091</v>
      </c>
      <c r="AG151" s="530"/>
      <c r="AH151" s="530">
        <v>12764</v>
      </c>
      <c r="AI151" s="545">
        <v>0.15</v>
      </c>
      <c r="AJ151" s="530">
        <f>AH151*AI151</f>
        <v>1914.6</v>
      </c>
      <c r="AK151" s="530">
        <v>322</v>
      </c>
      <c r="AL151" s="530">
        <f>AK151*7</f>
        <v>2254</v>
      </c>
      <c r="AM151" s="726">
        <v>1914</v>
      </c>
      <c r="AN151" s="669">
        <v>1276.3999999999999</v>
      </c>
      <c r="AO151" s="580">
        <f t="shared" si="39"/>
        <v>637.60000000000014</v>
      </c>
      <c r="AP151" s="530">
        <f t="shared" si="40"/>
        <v>0.49952992792228157</v>
      </c>
      <c r="AQ151" s="590">
        <f t="shared" si="41"/>
        <v>9.9999999999999992E-2</v>
      </c>
      <c r="AR151" s="587">
        <f t="shared" si="42"/>
        <v>1276.3999999999999</v>
      </c>
      <c r="AS151" s="587">
        <f t="shared" si="43"/>
        <v>0</v>
      </c>
      <c r="AT151" s="588"/>
      <c r="AU151" s="588"/>
      <c r="AV151" s="531" t="s">
        <v>3133</v>
      </c>
      <c r="AW151" s="610"/>
    </row>
    <row r="152" spans="1:49" ht="36" customHeight="1">
      <c r="A152" s="574">
        <v>95</v>
      </c>
      <c r="B152" s="525" t="s">
        <v>3126</v>
      </c>
      <c r="C152" s="526" t="s">
        <v>129</v>
      </c>
      <c r="D152" s="525" t="s">
        <v>3127</v>
      </c>
      <c r="E152" s="525" t="s">
        <v>75</v>
      </c>
      <c r="F152" s="525" t="s">
        <v>75</v>
      </c>
      <c r="G152" s="525" t="s">
        <v>75</v>
      </c>
      <c r="H152" s="525" t="s">
        <v>75</v>
      </c>
      <c r="I152" s="525" t="s">
        <v>75</v>
      </c>
      <c r="J152" s="525" t="s">
        <v>75</v>
      </c>
      <c r="K152" s="525" t="s">
        <v>75</v>
      </c>
      <c r="L152" s="525"/>
      <c r="M152" s="525"/>
      <c r="N152" s="525" t="s">
        <v>75</v>
      </c>
      <c r="O152" s="525"/>
      <c r="P152" s="525"/>
      <c r="Q152" s="525"/>
      <c r="R152" s="525" t="s">
        <v>75</v>
      </c>
      <c r="S152" s="525" t="s">
        <v>75</v>
      </c>
      <c r="T152" s="525" t="s">
        <v>75</v>
      </c>
      <c r="U152" s="527"/>
      <c r="V152" s="527"/>
      <c r="W152" s="527"/>
      <c r="X152" s="527"/>
      <c r="Y152" s="527"/>
      <c r="Z152" s="527"/>
      <c r="AA152" s="527"/>
      <c r="AB152" s="527"/>
      <c r="AC152" s="527"/>
      <c r="AD152" s="530">
        <v>8.9</v>
      </c>
      <c r="AE152" s="530"/>
      <c r="AF152" s="529">
        <f t="shared" si="32"/>
        <v>0.5</v>
      </c>
      <c r="AG152" s="530"/>
      <c r="AH152" s="530"/>
      <c r="AI152" s="545"/>
      <c r="AJ152" s="530"/>
      <c r="AK152" s="530"/>
      <c r="AL152" s="530"/>
      <c r="AM152" s="726">
        <v>8.4</v>
      </c>
      <c r="AN152" s="667"/>
      <c r="AO152" s="580"/>
      <c r="AP152" s="530"/>
      <c r="AQ152" s="530"/>
      <c r="AR152" s="530"/>
      <c r="AS152" s="530"/>
      <c r="AT152" s="581"/>
      <c r="AU152" s="581"/>
      <c r="AV152" s="531" t="s">
        <v>3132</v>
      </c>
      <c r="AW152" s="610"/>
    </row>
    <row r="153" spans="1:49" ht="36" customHeight="1">
      <c r="A153" s="574">
        <v>95</v>
      </c>
      <c r="B153" s="525" t="s">
        <v>3126</v>
      </c>
      <c r="C153" s="526" t="s">
        <v>129</v>
      </c>
      <c r="D153" s="575" t="s">
        <v>104</v>
      </c>
      <c r="E153" s="576"/>
      <c r="F153" s="576"/>
      <c r="G153" s="576"/>
      <c r="H153" s="576"/>
      <c r="I153" s="576"/>
      <c r="J153" s="576"/>
      <c r="K153" s="576"/>
      <c r="L153" s="576"/>
      <c r="M153" s="576"/>
      <c r="N153" s="576"/>
      <c r="O153" s="576"/>
      <c r="P153" s="576"/>
      <c r="Q153" s="576"/>
      <c r="R153" s="576"/>
      <c r="S153" s="576"/>
      <c r="T153" s="576"/>
      <c r="U153" s="527"/>
      <c r="V153" s="527"/>
      <c r="W153" s="527"/>
      <c r="X153" s="527"/>
      <c r="Y153" s="527"/>
      <c r="Z153" s="527"/>
      <c r="AA153" s="527"/>
      <c r="AB153" s="527"/>
      <c r="AC153" s="527"/>
      <c r="AD153" s="530">
        <v>10</v>
      </c>
      <c r="AE153" s="530"/>
      <c r="AF153" s="529">
        <f t="shared" si="32"/>
        <v>10</v>
      </c>
      <c r="AG153" s="530"/>
      <c r="AH153" s="530"/>
      <c r="AI153" s="545"/>
      <c r="AJ153" s="530"/>
      <c r="AK153" s="530"/>
      <c r="AL153" s="530"/>
      <c r="AM153" s="726"/>
      <c r="AN153" s="667"/>
      <c r="AO153" s="580"/>
      <c r="AP153" s="530"/>
      <c r="AQ153" s="530"/>
      <c r="AR153" s="530"/>
      <c r="AS153" s="530"/>
      <c r="AT153" s="581"/>
      <c r="AU153" s="581"/>
      <c r="AV153" s="575" t="s">
        <v>3128</v>
      </c>
      <c r="AW153" s="610"/>
    </row>
    <row r="154" spans="1:49" ht="36" customHeight="1">
      <c r="A154" s="574">
        <v>96</v>
      </c>
      <c r="B154" s="525" t="s">
        <v>3317</v>
      </c>
      <c r="C154" s="526" t="s">
        <v>129</v>
      </c>
      <c r="D154" s="525" t="s">
        <v>101</v>
      </c>
      <c r="E154" s="576" t="s">
        <v>75</v>
      </c>
      <c r="F154" s="576" t="s">
        <v>75</v>
      </c>
      <c r="G154" s="576" t="s">
        <v>75</v>
      </c>
      <c r="H154" s="576" t="s">
        <v>75</v>
      </c>
      <c r="I154" s="576" t="s">
        <v>75</v>
      </c>
      <c r="J154" s="576" t="s">
        <v>75</v>
      </c>
      <c r="K154" s="576" t="s">
        <v>75</v>
      </c>
      <c r="L154" s="639"/>
      <c r="M154" s="639"/>
      <c r="N154" s="639"/>
      <c r="O154" s="639"/>
      <c r="P154" s="639"/>
      <c r="Q154" s="639"/>
      <c r="R154" s="526" t="s">
        <v>75</v>
      </c>
      <c r="S154" s="639"/>
      <c r="T154" s="639"/>
      <c r="U154" s="576" t="s">
        <v>75</v>
      </c>
      <c r="V154" s="527"/>
      <c r="W154" s="527"/>
      <c r="X154" s="527"/>
      <c r="Y154" s="527"/>
      <c r="Z154" s="527"/>
      <c r="AA154" s="527"/>
      <c r="AB154" s="527"/>
      <c r="AC154" s="527"/>
      <c r="AD154" s="530">
        <v>2.8</v>
      </c>
      <c r="AE154" s="530"/>
      <c r="AF154" s="529">
        <f t="shared" si="32"/>
        <v>0.19999999999999973</v>
      </c>
      <c r="AG154" s="530"/>
      <c r="AH154" s="530"/>
      <c r="AI154" s="545"/>
      <c r="AJ154" s="530"/>
      <c r="AK154" s="530"/>
      <c r="AL154" s="530"/>
      <c r="AM154" s="726">
        <v>2.6</v>
      </c>
      <c r="AN154" s="667"/>
      <c r="AO154" s="580"/>
      <c r="AP154" s="530"/>
      <c r="AQ154" s="530"/>
      <c r="AR154" s="530"/>
      <c r="AS154" s="530"/>
      <c r="AT154" s="581"/>
      <c r="AU154" s="581"/>
      <c r="AV154" s="531"/>
      <c r="AW154" s="610"/>
    </row>
    <row r="155" spans="1:49" ht="36" customHeight="1">
      <c r="A155" s="574">
        <v>96</v>
      </c>
      <c r="B155" s="525" t="s">
        <v>3121</v>
      </c>
      <c r="C155" s="526" t="s">
        <v>129</v>
      </c>
      <c r="D155" s="525" t="s">
        <v>105</v>
      </c>
      <c r="E155" s="576" t="s">
        <v>75</v>
      </c>
      <c r="F155" s="576" t="s">
        <v>75</v>
      </c>
      <c r="G155" s="576" t="s">
        <v>75</v>
      </c>
      <c r="H155" s="576" t="s">
        <v>75</v>
      </c>
      <c r="I155" s="576" t="s">
        <v>75</v>
      </c>
      <c r="J155" s="576" t="s">
        <v>75</v>
      </c>
      <c r="K155" s="639"/>
      <c r="L155" s="639"/>
      <c r="M155" s="639"/>
      <c r="N155" s="639"/>
      <c r="O155" s="639"/>
      <c r="P155" s="639"/>
      <c r="Q155" s="639"/>
      <c r="R155" s="526" t="s">
        <v>75</v>
      </c>
      <c r="S155" s="639"/>
      <c r="T155" s="639"/>
      <c r="U155" s="639"/>
      <c r="V155" s="527"/>
      <c r="W155" s="527"/>
      <c r="X155" s="527"/>
      <c r="Y155" s="527"/>
      <c r="Z155" s="527"/>
      <c r="AA155" s="527"/>
      <c r="AB155" s="527"/>
      <c r="AC155" s="527"/>
      <c r="AD155" s="530"/>
      <c r="AE155" s="530"/>
      <c r="AF155" s="529">
        <f t="shared" si="32"/>
        <v>0</v>
      </c>
      <c r="AG155" s="530"/>
      <c r="AH155" s="530"/>
      <c r="AI155" s="545"/>
      <c r="AJ155" s="530"/>
      <c r="AK155" s="530"/>
      <c r="AL155" s="530"/>
      <c r="AM155" s="726"/>
      <c r="AN155" s="667"/>
      <c r="AO155" s="580"/>
      <c r="AP155" s="530"/>
      <c r="AQ155" s="530"/>
      <c r="AR155" s="530"/>
      <c r="AS155" s="530"/>
      <c r="AT155" s="581"/>
      <c r="AU155" s="581"/>
      <c r="AV155" s="531"/>
      <c r="AW155" s="610"/>
    </row>
    <row r="156" spans="1:49" ht="36" customHeight="1">
      <c r="A156" s="574">
        <v>96</v>
      </c>
      <c r="B156" s="525" t="s">
        <v>3383</v>
      </c>
      <c r="C156" s="526" t="s">
        <v>129</v>
      </c>
      <c r="D156" s="525" t="s">
        <v>85</v>
      </c>
      <c r="E156" s="526" t="s">
        <v>75</v>
      </c>
      <c r="F156" s="526" t="s">
        <v>75</v>
      </c>
      <c r="G156" s="526" t="s">
        <v>75</v>
      </c>
      <c r="H156" s="526" t="s">
        <v>75</v>
      </c>
      <c r="I156" s="526" t="s">
        <v>75</v>
      </c>
      <c r="J156" s="526" t="s">
        <v>75</v>
      </c>
      <c r="K156" s="526"/>
      <c r="L156" s="526"/>
      <c r="M156" s="526"/>
      <c r="N156" s="526"/>
      <c r="O156" s="526"/>
      <c r="P156" s="526"/>
      <c r="Q156" s="526"/>
      <c r="R156" s="526" t="s">
        <v>75</v>
      </c>
      <c r="S156" s="526"/>
      <c r="T156" s="526"/>
      <c r="U156" s="526"/>
      <c r="V156" s="527"/>
      <c r="W156" s="527"/>
      <c r="X156" s="527"/>
      <c r="Y156" s="527"/>
      <c r="Z156" s="527"/>
      <c r="AA156" s="527"/>
      <c r="AB156" s="527"/>
      <c r="AC156" s="527"/>
      <c r="AD156" s="530">
        <v>22261.040000000001</v>
      </c>
      <c r="AE156" s="530"/>
      <c r="AF156" s="529">
        <f t="shared" ref="AF156:AF169" si="44">AD156-AM156</f>
        <v>20000.04</v>
      </c>
      <c r="AG156" s="530"/>
      <c r="AH156" s="530">
        <v>22261.040000000001</v>
      </c>
      <c r="AI156" s="545">
        <v>0.1</v>
      </c>
      <c r="AJ156" s="530">
        <v>2261</v>
      </c>
      <c r="AK156" s="530">
        <v>672</v>
      </c>
      <c r="AL156" s="530">
        <v>4704</v>
      </c>
      <c r="AM156" s="726">
        <f>AJ156</f>
        <v>2261</v>
      </c>
      <c r="AN156" s="669">
        <v>1094.7785000000001</v>
      </c>
      <c r="AO156" s="580">
        <f t="shared" ref="AO156:AO157" si="45">AM156-AN156</f>
        <v>1166.2214999999999</v>
      </c>
      <c r="AP156" s="530">
        <f t="shared" ref="AP156:AP157" si="46">AO156/AN156</f>
        <v>1.0652579494390872</v>
      </c>
      <c r="AQ156" s="590">
        <f t="shared" ref="AQ156:AQ157" si="47">AI156-5%</f>
        <v>0.05</v>
      </c>
      <c r="AR156" s="587">
        <f t="shared" ref="AR156:AR157" si="48">AH156*AQ156</f>
        <v>1113.0520000000001</v>
      </c>
      <c r="AS156" s="587">
        <f t="shared" ref="AS156:AS157" si="49">AN156-AR156</f>
        <v>-18.273500000000013</v>
      </c>
      <c r="AT156" s="588"/>
      <c r="AU156" s="588"/>
      <c r="AV156" s="531"/>
      <c r="AW156" s="610"/>
    </row>
    <row r="157" spans="1:49" ht="36" customHeight="1">
      <c r="A157" s="574">
        <v>97</v>
      </c>
      <c r="B157" s="585" t="s">
        <v>3384</v>
      </c>
      <c r="C157" s="582" t="s">
        <v>129</v>
      </c>
      <c r="D157" s="585" t="s">
        <v>85</v>
      </c>
      <c r="E157" s="582" t="s">
        <v>75</v>
      </c>
      <c r="F157" s="582" t="s">
        <v>75</v>
      </c>
      <c r="G157" s="582" t="s">
        <v>75</v>
      </c>
      <c r="H157" s="582" t="s">
        <v>75</v>
      </c>
      <c r="I157" s="582" t="s">
        <v>75</v>
      </c>
      <c r="J157" s="582" t="s">
        <v>75</v>
      </c>
      <c r="K157" s="582"/>
      <c r="L157" s="582"/>
      <c r="M157" s="582"/>
      <c r="N157" s="582"/>
      <c r="O157" s="582"/>
      <c r="P157" s="582"/>
      <c r="Q157" s="582" t="s">
        <v>75</v>
      </c>
      <c r="R157" s="576" t="s">
        <v>75</v>
      </c>
      <c r="S157" s="532"/>
      <c r="T157" s="532"/>
      <c r="U157" s="527"/>
      <c r="V157" s="527"/>
      <c r="W157" s="527"/>
      <c r="X157" s="527"/>
      <c r="Y157" s="527"/>
      <c r="Z157" s="527"/>
      <c r="AA157" s="527"/>
      <c r="AB157" s="527"/>
      <c r="AC157" s="527"/>
      <c r="AD157" s="530">
        <v>3829</v>
      </c>
      <c r="AE157" s="530">
        <v>546</v>
      </c>
      <c r="AF157" s="529">
        <f t="shared" si="44"/>
        <v>3254.8</v>
      </c>
      <c r="AG157" s="530"/>
      <c r="AH157" s="530">
        <v>3828</v>
      </c>
      <c r="AI157" s="545">
        <v>0.15</v>
      </c>
      <c r="AJ157" s="530">
        <f>AH157*AI157</f>
        <v>574.19999999999993</v>
      </c>
      <c r="AK157" s="530">
        <v>832</v>
      </c>
      <c r="AL157" s="530">
        <f>AK157*7</f>
        <v>5824</v>
      </c>
      <c r="AM157" s="726">
        <f>AJ157</f>
        <v>574.19999999999993</v>
      </c>
      <c r="AN157" s="669">
        <v>382</v>
      </c>
      <c r="AO157" s="580">
        <f t="shared" si="45"/>
        <v>192.19999999999993</v>
      </c>
      <c r="AP157" s="530">
        <f t="shared" si="46"/>
        <v>0.50314136125654429</v>
      </c>
      <c r="AQ157" s="590">
        <f t="shared" si="47"/>
        <v>9.9999999999999992E-2</v>
      </c>
      <c r="AR157" s="587">
        <f t="shared" si="48"/>
        <v>382.79999999999995</v>
      </c>
      <c r="AS157" s="587">
        <f t="shared" si="49"/>
        <v>-0.79999999999995453</v>
      </c>
      <c r="AT157" s="588"/>
      <c r="AU157" s="588"/>
      <c r="AV157" s="531"/>
      <c r="AW157" s="610"/>
    </row>
    <row r="158" spans="1:49" ht="36" customHeight="1">
      <c r="A158" s="574">
        <v>98</v>
      </c>
      <c r="B158" s="575" t="s">
        <v>3117</v>
      </c>
      <c r="C158" s="576" t="s">
        <v>134</v>
      </c>
      <c r="D158" s="531" t="s">
        <v>101</v>
      </c>
      <c r="E158" s="576" t="s">
        <v>75</v>
      </c>
      <c r="F158" s="576" t="s">
        <v>75</v>
      </c>
      <c r="G158" s="576" t="s">
        <v>75</v>
      </c>
      <c r="H158" s="576" t="s">
        <v>75</v>
      </c>
      <c r="I158" s="576" t="s">
        <v>75</v>
      </c>
      <c r="J158" s="576" t="s">
        <v>75</v>
      </c>
      <c r="K158" s="576" t="s">
        <v>75</v>
      </c>
      <c r="L158" s="576"/>
      <c r="M158" s="576"/>
      <c r="N158" s="576"/>
      <c r="O158" s="576"/>
      <c r="P158" s="576"/>
      <c r="Q158" s="576"/>
      <c r="R158" s="576" t="s">
        <v>75</v>
      </c>
      <c r="S158" s="532"/>
      <c r="T158" s="532"/>
      <c r="U158" s="527"/>
      <c r="V158" s="527"/>
      <c r="W158" s="527"/>
      <c r="X158" s="527"/>
      <c r="Y158" s="527"/>
      <c r="Z158" s="527"/>
      <c r="AA158" s="527"/>
      <c r="AB158" s="527"/>
      <c r="AC158" s="527"/>
      <c r="AD158" s="530">
        <v>0.75</v>
      </c>
      <c r="AE158" s="530"/>
      <c r="AF158" s="529">
        <f t="shared" si="44"/>
        <v>5.0000000000000044E-2</v>
      </c>
      <c r="AG158" s="530"/>
      <c r="AH158" s="530"/>
      <c r="AI158" s="545"/>
      <c r="AJ158" s="530"/>
      <c r="AK158" s="530"/>
      <c r="AL158" s="530"/>
      <c r="AM158" s="730">
        <v>0.7</v>
      </c>
      <c r="AN158" s="737"/>
      <c r="AO158" s="631"/>
      <c r="AP158" s="630"/>
      <c r="AQ158" s="630"/>
      <c r="AR158" s="630"/>
      <c r="AS158" s="630"/>
      <c r="AT158" s="632"/>
      <c r="AU158" s="632"/>
      <c r="AV158" s="531" t="s">
        <v>3131</v>
      </c>
      <c r="AW158" s="610"/>
    </row>
    <row r="159" spans="1:49" ht="36" customHeight="1">
      <c r="A159" s="574">
        <v>98</v>
      </c>
      <c r="B159" s="575" t="s">
        <v>3436</v>
      </c>
      <c r="C159" s="576" t="s">
        <v>134</v>
      </c>
      <c r="D159" s="575" t="s">
        <v>85</v>
      </c>
      <c r="E159" s="576" t="s">
        <v>75</v>
      </c>
      <c r="F159" s="576" t="s">
        <v>75</v>
      </c>
      <c r="G159" s="576" t="s">
        <v>75</v>
      </c>
      <c r="H159" s="576" t="s">
        <v>75</v>
      </c>
      <c r="I159" s="576" t="s">
        <v>75</v>
      </c>
      <c r="J159" s="576" t="s">
        <v>75</v>
      </c>
      <c r="K159" s="576"/>
      <c r="L159" s="576"/>
      <c r="M159" s="576"/>
      <c r="N159" s="576"/>
      <c r="O159" s="576"/>
      <c r="P159" s="576"/>
      <c r="Q159" s="576" t="s">
        <v>75</v>
      </c>
      <c r="R159" s="576" t="s">
        <v>75</v>
      </c>
      <c r="S159" s="532"/>
      <c r="T159" s="532"/>
      <c r="U159" s="527"/>
      <c r="V159" s="527"/>
      <c r="W159" s="527"/>
      <c r="X159" s="527"/>
      <c r="Y159" s="527"/>
      <c r="Z159" s="527"/>
      <c r="AA159" s="527">
        <v>388</v>
      </c>
      <c r="AB159" s="527">
        <v>7</v>
      </c>
      <c r="AC159" s="527">
        <f>AA159*AB159</f>
        <v>2716</v>
      </c>
      <c r="AD159" s="530">
        <f>AC159</f>
        <v>2716</v>
      </c>
      <c r="AE159" s="530">
        <v>388</v>
      </c>
      <c r="AF159" s="529">
        <f t="shared" si="44"/>
        <v>2331</v>
      </c>
      <c r="AG159" s="530"/>
      <c r="AH159" s="530">
        <f>AC159</f>
        <v>2716</v>
      </c>
      <c r="AI159" s="545">
        <v>0.15</v>
      </c>
      <c r="AJ159" s="530">
        <f>AH159*AI159</f>
        <v>407.4</v>
      </c>
      <c r="AK159" s="530">
        <v>55</v>
      </c>
      <c r="AL159" s="678">
        <f>AK159*7</f>
        <v>385</v>
      </c>
      <c r="AM159" s="730">
        <f>AL159</f>
        <v>385</v>
      </c>
      <c r="AN159" s="737">
        <v>271</v>
      </c>
      <c r="AO159" s="631"/>
      <c r="AP159" s="630"/>
      <c r="AQ159" s="530">
        <f>AI159-5%</f>
        <v>9.9999999999999992E-2</v>
      </c>
      <c r="AR159" s="530">
        <f>AH159*AQ159</f>
        <v>271.59999999999997</v>
      </c>
      <c r="AS159" s="530">
        <f>AN159-AR159</f>
        <v>-0.59999999999996589</v>
      </c>
      <c r="AT159" s="632"/>
      <c r="AU159" s="632"/>
      <c r="AV159" s="531" t="s">
        <v>3133</v>
      </c>
      <c r="AW159" s="610"/>
    </row>
    <row r="160" spans="1:49" ht="36" customHeight="1">
      <c r="A160" s="524">
        <v>100</v>
      </c>
      <c r="B160" s="575" t="s">
        <v>114</v>
      </c>
      <c r="C160" s="576" t="s">
        <v>89</v>
      </c>
      <c r="D160" s="525" t="s">
        <v>101</v>
      </c>
      <c r="E160" s="576" t="s">
        <v>75</v>
      </c>
      <c r="F160" s="576" t="s">
        <v>75</v>
      </c>
      <c r="G160" s="576" t="s">
        <v>75</v>
      </c>
      <c r="H160" s="576" t="s">
        <v>75</v>
      </c>
      <c r="I160" s="576" t="s">
        <v>75</v>
      </c>
      <c r="J160" s="576" t="s">
        <v>75</v>
      </c>
      <c r="K160" s="576" t="s">
        <v>75</v>
      </c>
      <c r="L160" s="526"/>
      <c r="M160" s="526"/>
      <c r="N160" s="526"/>
      <c r="O160" s="526"/>
      <c r="P160" s="526"/>
      <c r="Q160" s="526"/>
      <c r="R160" s="576" t="s">
        <v>75</v>
      </c>
      <c r="S160" s="532"/>
      <c r="T160" s="532"/>
      <c r="U160" s="527"/>
      <c r="V160" s="527"/>
      <c r="W160" s="527"/>
      <c r="X160" s="527"/>
      <c r="Y160" s="527"/>
      <c r="Z160" s="527"/>
      <c r="AA160" s="527"/>
      <c r="AB160" s="527"/>
      <c r="AC160" s="527"/>
      <c r="AD160" s="529">
        <v>1.68</v>
      </c>
      <c r="AE160" s="528"/>
      <c r="AF160" s="529">
        <f t="shared" si="44"/>
        <v>0.67999999999999994</v>
      </c>
      <c r="AG160" s="528"/>
      <c r="AH160" s="528">
        <v>1.585</v>
      </c>
      <c r="AI160" s="593"/>
      <c r="AJ160" s="530">
        <v>1</v>
      </c>
      <c r="AK160" s="530"/>
      <c r="AL160" s="530"/>
      <c r="AM160" s="726">
        <v>1</v>
      </c>
      <c r="AN160" s="667"/>
      <c r="AO160" s="580"/>
      <c r="AP160" s="530"/>
      <c r="AQ160" s="530"/>
      <c r="AR160" s="530"/>
      <c r="AS160" s="530"/>
      <c r="AT160" s="581"/>
      <c r="AU160" s="581"/>
      <c r="AV160" s="575" t="s">
        <v>3306</v>
      </c>
      <c r="AW160" s="610" t="s">
        <v>115</v>
      </c>
    </row>
    <row r="161" spans="1:49" ht="36" customHeight="1">
      <c r="A161" s="524">
        <v>100</v>
      </c>
      <c r="B161" s="575" t="s">
        <v>114</v>
      </c>
      <c r="C161" s="576" t="s">
        <v>89</v>
      </c>
      <c r="D161" s="525" t="s">
        <v>99</v>
      </c>
      <c r="E161" s="576" t="s">
        <v>75</v>
      </c>
      <c r="F161" s="576" t="s">
        <v>75</v>
      </c>
      <c r="G161" s="576" t="s">
        <v>75</v>
      </c>
      <c r="H161" s="576" t="s">
        <v>75</v>
      </c>
      <c r="I161" s="576" t="s">
        <v>75</v>
      </c>
      <c r="J161" s="576" t="s">
        <v>75</v>
      </c>
      <c r="K161" s="526"/>
      <c r="L161" s="526"/>
      <c r="M161" s="576" t="s">
        <v>75</v>
      </c>
      <c r="N161" s="526"/>
      <c r="O161" s="526"/>
      <c r="P161" s="526"/>
      <c r="Q161" s="526"/>
      <c r="R161" s="576" t="s">
        <v>75</v>
      </c>
      <c r="S161" s="532"/>
      <c r="T161" s="532"/>
      <c r="U161" s="527"/>
      <c r="V161" s="527"/>
      <c r="W161" s="527"/>
      <c r="X161" s="527"/>
      <c r="Y161" s="527"/>
      <c r="Z161" s="527"/>
      <c r="AA161" s="527"/>
      <c r="AB161" s="527"/>
      <c r="AC161" s="527"/>
      <c r="AD161" s="529">
        <v>12.11</v>
      </c>
      <c r="AE161" s="528"/>
      <c r="AF161" s="529">
        <f t="shared" si="44"/>
        <v>0.10999999999999943</v>
      </c>
      <c r="AG161" s="528"/>
      <c r="AH161" s="528">
        <v>12</v>
      </c>
      <c r="AI161" s="593"/>
      <c r="AJ161" s="530">
        <v>12</v>
      </c>
      <c r="AK161" s="530"/>
      <c r="AL161" s="530"/>
      <c r="AM161" s="726">
        <v>12</v>
      </c>
      <c r="AN161" s="667"/>
      <c r="AO161" s="580"/>
      <c r="AP161" s="530"/>
      <c r="AQ161" s="530"/>
      <c r="AR161" s="530"/>
      <c r="AS161" s="530"/>
      <c r="AT161" s="581"/>
      <c r="AU161" s="581"/>
      <c r="AV161" s="575"/>
      <c r="AW161" s="610" t="s">
        <v>115</v>
      </c>
    </row>
    <row r="162" spans="1:49" ht="36" customHeight="1">
      <c r="A162" s="524">
        <v>100</v>
      </c>
      <c r="B162" s="575" t="s">
        <v>3240</v>
      </c>
      <c r="C162" s="576" t="s">
        <v>89</v>
      </c>
      <c r="D162" s="525" t="s">
        <v>85</v>
      </c>
      <c r="E162" s="526"/>
      <c r="F162" s="526"/>
      <c r="G162" s="526"/>
      <c r="H162" s="526"/>
      <c r="I162" s="526"/>
      <c r="J162" s="526"/>
      <c r="K162" s="526"/>
      <c r="L162" s="526"/>
      <c r="M162" s="526"/>
      <c r="N162" s="526"/>
      <c r="O162" s="526"/>
      <c r="P162" s="526"/>
      <c r="Q162" s="526"/>
      <c r="R162" s="576" t="s">
        <v>75</v>
      </c>
      <c r="S162" s="532"/>
      <c r="T162" s="532"/>
      <c r="U162" s="527"/>
      <c r="V162" s="527"/>
      <c r="W162" s="527"/>
      <c r="X162" s="527"/>
      <c r="Y162" s="527"/>
      <c r="Z162" s="527"/>
      <c r="AA162" s="527"/>
      <c r="AB162" s="527"/>
      <c r="AC162" s="527"/>
      <c r="AD162" s="529">
        <v>178.31136650000002</v>
      </c>
      <c r="AE162" s="528"/>
      <c r="AF162" s="529">
        <f t="shared" si="44"/>
        <v>-176.68863349999998</v>
      </c>
      <c r="AG162" s="528"/>
      <c r="AH162" s="528">
        <v>3551.9975350000004</v>
      </c>
      <c r="AI162" s="579">
        <v>0.1</v>
      </c>
      <c r="AJ162" s="530">
        <v>355</v>
      </c>
      <c r="AK162" s="530"/>
      <c r="AL162" s="530"/>
      <c r="AM162" s="726">
        <v>355</v>
      </c>
      <c r="AN162" s="736">
        <v>177.43430585000002</v>
      </c>
      <c r="AO162" s="580"/>
      <c r="AP162" s="530"/>
      <c r="AQ162" s="530">
        <f t="shared" ref="AQ162:AQ163" si="50">AI162-5%</f>
        <v>0.05</v>
      </c>
      <c r="AR162" s="530">
        <f t="shared" ref="AR162:AR163" si="51">AH162*AQ162</f>
        <v>177.59987675000002</v>
      </c>
      <c r="AS162" s="530">
        <f t="shared" ref="AS162:AS163" si="52">AN162-AR162</f>
        <v>-0.16557090000000585</v>
      </c>
      <c r="AT162" s="581"/>
      <c r="AU162" s="581"/>
      <c r="AV162" s="525" t="s">
        <v>3307</v>
      </c>
      <c r="AW162" s="610" t="s">
        <v>115</v>
      </c>
    </row>
    <row r="163" spans="1:49" ht="36" customHeight="1">
      <c r="A163" s="574">
        <v>101</v>
      </c>
      <c r="B163" s="575" t="s">
        <v>3437</v>
      </c>
      <c r="C163" s="576" t="s">
        <v>89</v>
      </c>
      <c r="D163" s="575" t="s">
        <v>85</v>
      </c>
      <c r="E163" s="576" t="s">
        <v>75</v>
      </c>
      <c r="F163" s="576" t="s">
        <v>75</v>
      </c>
      <c r="G163" s="576" t="s">
        <v>75</v>
      </c>
      <c r="H163" s="576" t="s">
        <v>75</v>
      </c>
      <c r="I163" s="576" t="s">
        <v>75</v>
      </c>
      <c r="J163" s="576" t="s">
        <v>3120</v>
      </c>
      <c r="K163" s="576"/>
      <c r="L163" s="576"/>
      <c r="M163" s="576"/>
      <c r="N163" s="576"/>
      <c r="O163" s="576"/>
      <c r="P163" s="576"/>
      <c r="Q163" s="576" t="s">
        <v>75</v>
      </c>
      <c r="R163" s="576" t="s">
        <v>75</v>
      </c>
      <c r="S163" s="576"/>
      <c r="T163" s="576"/>
      <c r="U163" s="582"/>
      <c r="V163" s="582"/>
      <c r="W163" s="582"/>
      <c r="X163" s="582"/>
      <c r="Y163" s="582"/>
      <c r="Z163" s="582"/>
      <c r="AA163" s="582"/>
      <c r="AB163" s="582"/>
      <c r="AC163" s="527"/>
      <c r="AD163" s="530">
        <f>AE163*7</f>
        <v>10108</v>
      </c>
      <c r="AE163" s="530">
        <v>1444</v>
      </c>
      <c r="AF163" s="529">
        <f t="shared" si="44"/>
        <v>3917.9919999999993</v>
      </c>
      <c r="AG163" s="530"/>
      <c r="AH163" s="530">
        <v>61900.08</v>
      </c>
      <c r="AI163" s="545">
        <v>0.1</v>
      </c>
      <c r="AJ163" s="518">
        <f>AH163*AI163</f>
        <v>6190.0080000000007</v>
      </c>
      <c r="AK163" s="530">
        <v>1302</v>
      </c>
      <c r="AL163" s="530">
        <f>AK163*7</f>
        <v>9114</v>
      </c>
      <c r="AM163" s="726">
        <f>AJ163</f>
        <v>6190.0080000000007</v>
      </c>
      <c r="AN163" s="667">
        <v>3133.5424490000005</v>
      </c>
      <c r="AO163" s="580"/>
      <c r="AP163" s="530"/>
      <c r="AQ163" s="530">
        <f t="shared" si="50"/>
        <v>0.05</v>
      </c>
      <c r="AR163" s="530">
        <f t="shared" si="51"/>
        <v>3095.0040000000004</v>
      </c>
      <c r="AS163" s="530">
        <f t="shared" si="52"/>
        <v>38.538449000000128</v>
      </c>
      <c r="AT163" s="581"/>
      <c r="AU163" s="581"/>
      <c r="AV163" s="525" t="s">
        <v>3312</v>
      </c>
      <c r="AW163" s="610" t="s">
        <v>3313</v>
      </c>
    </row>
    <row r="164" spans="1:49" ht="36" customHeight="1">
      <c r="A164" s="574">
        <v>102</v>
      </c>
      <c r="B164" s="610" t="s">
        <v>3469</v>
      </c>
      <c r="C164" s="526" t="s">
        <v>134</v>
      </c>
      <c r="D164" s="525" t="s">
        <v>85</v>
      </c>
      <c r="E164" s="525" t="s">
        <v>75</v>
      </c>
      <c r="F164" s="525" t="s">
        <v>75</v>
      </c>
      <c r="G164" s="525" t="s">
        <v>75</v>
      </c>
      <c r="H164" s="525" t="s">
        <v>75</v>
      </c>
      <c r="I164" s="525" t="s">
        <v>75</v>
      </c>
      <c r="J164" s="525" t="s">
        <v>75</v>
      </c>
      <c r="K164" s="525" t="s">
        <v>75</v>
      </c>
      <c r="L164" s="542"/>
      <c r="M164" s="542"/>
      <c r="N164" s="542"/>
      <c r="O164" s="542"/>
      <c r="P164" s="542"/>
      <c r="Q164" s="525" t="s">
        <v>75</v>
      </c>
      <c r="R164" s="525" t="s">
        <v>75</v>
      </c>
      <c r="S164" s="542"/>
      <c r="T164" s="542"/>
      <c r="U164" s="628"/>
      <c r="V164" s="544"/>
      <c r="W164" s="544"/>
      <c r="X164" s="544"/>
      <c r="Y164" s="544"/>
      <c r="Z164" s="544"/>
      <c r="AA164" s="544"/>
      <c r="AB164" s="634"/>
      <c r="AC164" s="592"/>
      <c r="AD164" s="528">
        <v>8721.9440000000013</v>
      </c>
      <c r="AE164" s="528">
        <v>1724</v>
      </c>
      <c r="AF164" s="529">
        <f t="shared" si="44"/>
        <v>7829.0774600000013</v>
      </c>
      <c r="AG164" s="528"/>
      <c r="AH164" s="528">
        <v>4464.3327000000008</v>
      </c>
      <c r="AI164" s="593">
        <v>0.2</v>
      </c>
      <c r="AJ164" s="528">
        <f>AH164*AI164</f>
        <v>892.86654000000021</v>
      </c>
      <c r="AK164" s="528">
        <v>163</v>
      </c>
      <c r="AL164" s="678">
        <v>1141</v>
      </c>
      <c r="AM164" s="732">
        <f>AJ164</f>
        <v>892.86654000000021</v>
      </c>
      <c r="AN164" s="738">
        <v>669.6499050000001</v>
      </c>
      <c r="AO164" s="641"/>
      <c r="AP164" s="640"/>
      <c r="AQ164" s="530">
        <v>0.15</v>
      </c>
      <c r="AR164" s="530">
        <f>AH164*AQ164</f>
        <v>669.6499050000001</v>
      </c>
      <c r="AS164" s="530">
        <f>AN164-AR164</f>
        <v>0</v>
      </c>
      <c r="AT164" s="642"/>
      <c r="AU164" s="642"/>
      <c r="AV164" s="592" t="s">
        <v>3314</v>
      </c>
      <c r="AW164" s="610"/>
    </row>
    <row r="165" spans="1:49" ht="36" customHeight="1">
      <c r="A165" s="574">
        <v>102</v>
      </c>
      <c r="B165" s="610" t="s">
        <v>3315</v>
      </c>
      <c r="C165" s="526" t="s">
        <v>134</v>
      </c>
      <c r="D165" s="525" t="s">
        <v>101</v>
      </c>
      <c r="E165" s="525" t="s">
        <v>75</v>
      </c>
      <c r="F165" s="525" t="s">
        <v>75</v>
      </c>
      <c r="G165" s="525" t="s">
        <v>75</v>
      </c>
      <c r="H165" s="525" t="s">
        <v>75</v>
      </c>
      <c r="I165" s="525" t="s">
        <v>75</v>
      </c>
      <c r="J165" s="525" t="s">
        <v>75</v>
      </c>
      <c r="K165" s="525" t="s">
        <v>75</v>
      </c>
      <c r="L165" s="542"/>
      <c r="M165" s="542"/>
      <c r="N165" s="542"/>
      <c r="O165" s="542"/>
      <c r="P165" s="542"/>
      <c r="Q165" s="525"/>
      <c r="R165" s="525"/>
      <c r="S165" s="542"/>
      <c r="T165" s="542"/>
      <c r="U165" s="543"/>
      <c r="V165" s="544"/>
      <c r="W165" s="544"/>
      <c r="X165" s="544"/>
      <c r="Y165" s="544"/>
      <c r="Z165" s="544"/>
      <c r="AA165" s="544"/>
      <c r="AB165" s="634"/>
      <c r="AC165" s="592"/>
      <c r="AD165" s="528">
        <v>0.42</v>
      </c>
      <c r="AE165" s="528"/>
      <c r="AF165" s="529">
        <f t="shared" si="44"/>
        <v>1.9999999999999962E-2</v>
      </c>
      <c r="AG165" s="528"/>
      <c r="AH165" s="528"/>
      <c r="AI165" s="593"/>
      <c r="AJ165" s="528">
        <v>0.4</v>
      </c>
      <c r="AK165" s="528"/>
      <c r="AL165" s="528"/>
      <c r="AM165" s="732">
        <v>0.4</v>
      </c>
      <c r="AN165" s="738"/>
      <c r="AO165" s="641"/>
      <c r="AP165" s="640"/>
      <c r="AQ165" s="640"/>
      <c r="AR165" s="640"/>
      <c r="AS165" s="640"/>
      <c r="AT165" s="642"/>
      <c r="AU165" s="642"/>
      <c r="AV165" s="531"/>
      <c r="AW165" s="610"/>
    </row>
    <row r="166" spans="1:49" ht="36" customHeight="1">
      <c r="A166" s="524">
        <v>103</v>
      </c>
      <c r="B166" s="575" t="s">
        <v>3377</v>
      </c>
      <c r="C166" s="526" t="s">
        <v>129</v>
      </c>
      <c r="D166" s="577" t="s">
        <v>85</v>
      </c>
      <c r="E166" s="589" t="s">
        <v>3224</v>
      </c>
      <c r="F166" s="589" t="s">
        <v>3224</v>
      </c>
      <c r="G166" s="589" t="s">
        <v>3224</v>
      </c>
      <c r="H166" s="589" t="s">
        <v>3224</v>
      </c>
      <c r="I166" s="589" t="s">
        <v>3225</v>
      </c>
      <c r="J166" s="542" t="s">
        <v>3224</v>
      </c>
      <c r="K166" s="589"/>
      <c r="L166" s="589"/>
      <c r="M166" s="589"/>
      <c r="N166" s="589"/>
      <c r="O166" s="589"/>
      <c r="P166" s="589"/>
      <c r="Q166" s="589" t="s">
        <v>3224</v>
      </c>
      <c r="R166" s="589" t="s">
        <v>3224</v>
      </c>
      <c r="S166" s="589"/>
      <c r="T166" s="589"/>
      <c r="U166" s="527"/>
      <c r="V166" s="527"/>
      <c r="W166" s="527"/>
      <c r="X166" s="527"/>
      <c r="Y166" s="527"/>
      <c r="Z166" s="527"/>
      <c r="AA166" s="527"/>
      <c r="AB166" s="527"/>
      <c r="AC166" s="527"/>
      <c r="AD166" s="530">
        <v>2660.4761000000003</v>
      </c>
      <c r="AE166" s="528">
        <v>375.8</v>
      </c>
      <c r="AF166" s="529">
        <f t="shared" si="44"/>
        <v>945.82610000000045</v>
      </c>
      <c r="AG166" s="530"/>
      <c r="AH166" s="530">
        <v>11431</v>
      </c>
      <c r="AI166" s="545">
        <v>0.15</v>
      </c>
      <c r="AJ166" s="530">
        <f>AH166*AI166</f>
        <v>1714.6499999999999</v>
      </c>
      <c r="AK166" s="530"/>
      <c r="AL166" s="530"/>
      <c r="AM166" s="726">
        <f>AJ166</f>
        <v>1714.6499999999999</v>
      </c>
      <c r="AN166" s="669">
        <v>1143.1767</v>
      </c>
      <c r="AO166" s="580">
        <f t="shared" ref="AO166:AO167" si="53">AM166-AN166</f>
        <v>571.47329999999988</v>
      </c>
      <c r="AP166" s="530">
        <f t="shared" ref="AP166:AP167" si="54">AO166/AN166</f>
        <v>0.49989935939037239</v>
      </c>
      <c r="AQ166" s="590">
        <f t="shared" ref="AQ166:AQ167" si="55">AI166-5%</f>
        <v>9.9999999999999992E-2</v>
      </c>
      <c r="AR166" s="587">
        <f t="shared" ref="AR166:AR167" si="56">AH166*AQ166</f>
        <v>1143.0999999999999</v>
      </c>
      <c r="AS166" s="587">
        <f t="shared" ref="AS166" si="57">AN166-AR166</f>
        <v>7.6700000000073487E-2</v>
      </c>
      <c r="AT166" s="588"/>
      <c r="AU166" s="588">
        <v>700</v>
      </c>
      <c r="AV166" s="525"/>
      <c r="AW166" s="610" t="s">
        <v>3308</v>
      </c>
    </row>
    <row r="167" spans="1:49" ht="36" customHeight="1">
      <c r="A167" s="574">
        <v>104</v>
      </c>
      <c r="B167" s="592" t="s">
        <v>3309</v>
      </c>
      <c r="C167" s="586" t="s">
        <v>129</v>
      </c>
      <c r="D167" s="592" t="s">
        <v>85</v>
      </c>
      <c r="E167" s="544" t="s">
        <v>75</v>
      </c>
      <c r="F167" s="544" t="s">
        <v>75</v>
      </c>
      <c r="G167" s="544" t="s">
        <v>75</v>
      </c>
      <c r="H167" s="544" t="s">
        <v>75</v>
      </c>
      <c r="I167" s="544" t="s">
        <v>75</v>
      </c>
      <c r="J167" s="544" t="s">
        <v>75</v>
      </c>
      <c r="K167" s="542"/>
      <c r="L167" s="542"/>
      <c r="M167" s="542"/>
      <c r="N167" s="542"/>
      <c r="O167" s="542"/>
      <c r="P167" s="542"/>
      <c r="Q167" s="544" t="s">
        <v>75</v>
      </c>
      <c r="R167" s="544" t="s">
        <v>75</v>
      </c>
      <c r="S167" s="542"/>
      <c r="T167" s="542"/>
      <c r="U167" s="628"/>
      <c r="V167" s="544"/>
      <c r="W167" s="544"/>
      <c r="X167" s="544"/>
      <c r="Y167" s="544"/>
      <c r="Z167" s="544"/>
      <c r="AA167" s="527"/>
      <c r="AB167" s="527"/>
      <c r="AC167" s="527"/>
      <c r="AD167" s="528">
        <v>404.61068999999998</v>
      </c>
      <c r="AE167" s="530"/>
      <c r="AF167" s="529">
        <f t="shared" si="44"/>
        <v>349.00668999999999</v>
      </c>
      <c r="AG167" s="530"/>
      <c r="AH167" s="530">
        <v>556.04</v>
      </c>
      <c r="AI167" s="545">
        <v>0.1</v>
      </c>
      <c r="AJ167" s="530">
        <v>55.603999999999999</v>
      </c>
      <c r="AK167" s="530"/>
      <c r="AL167" s="530"/>
      <c r="AM167" s="726">
        <v>55.603999999999999</v>
      </c>
      <c r="AN167" s="669">
        <v>27.802</v>
      </c>
      <c r="AO167" s="580">
        <f t="shared" si="53"/>
        <v>27.802</v>
      </c>
      <c r="AP167" s="530">
        <f t="shared" si="54"/>
        <v>1</v>
      </c>
      <c r="AQ167" s="590">
        <f t="shared" si="55"/>
        <v>0.05</v>
      </c>
      <c r="AR167" s="587">
        <f t="shared" si="56"/>
        <v>27.802</v>
      </c>
      <c r="AS167" s="587">
        <f>AN167-AR167</f>
        <v>0</v>
      </c>
      <c r="AT167" s="588"/>
      <c r="AU167" s="588"/>
      <c r="AV167" s="643" t="s">
        <v>3334</v>
      </c>
      <c r="AW167" s="610" t="s">
        <v>3335</v>
      </c>
    </row>
    <row r="168" spans="1:49" ht="36" customHeight="1">
      <c r="A168" s="574">
        <v>105</v>
      </c>
      <c r="B168" s="531" t="s">
        <v>3438</v>
      </c>
      <c r="C168" s="576" t="s">
        <v>89</v>
      </c>
      <c r="D168" s="592" t="s">
        <v>85</v>
      </c>
      <c r="E168" s="532"/>
      <c r="F168" s="532"/>
      <c r="G168" s="532"/>
      <c r="H168" s="532"/>
      <c r="I168" s="532"/>
      <c r="J168" s="532"/>
      <c r="K168" s="532"/>
      <c r="L168" s="532"/>
      <c r="M168" s="532"/>
      <c r="N168" s="532"/>
      <c r="O168" s="532"/>
      <c r="P168" s="532"/>
      <c r="Q168" s="532"/>
      <c r="R168" s="532"/>
      <c r="S168" s="532"/>
      <c r="T168" s="532"/>
      <c r="U168" s="527"/>
      <c r="V168" s="527"/>
      <c r="W168" s="527"/>
      <c r="X168" s="527"/>
      <c r="Y168" s="527"/>
      <c r="Z168" s="527"/>
      <c r="AA168" s="527"/>
      <c r="AB168" s="527"/>
      <c r="AC168" s="527"/>
      <c r="AD168" s="530">
        <f>AE168*7</f>
        <v>3815</v>
      </c>
      <c r="AE168" s="530">
        <v>545</v>
      </c>
      <c r="AF168" s="529">
        <f t="shared" si="44"/>
        <v>3460.8</v>
      </c>
      <c r="AG168" s="530"/>
      <c r="AH168" s="530">
        <f>506*7</f>
        <v>3542</v>
      </c>
      <c r="AI168" s="545">
        <v>0.1</v>
      </c>
      <c r="AJ168" s="530">
        <f>AH168*AI168</f>
        <v>354.20000000000005</v>
      </c>
      <c r="AK168" s="530"/>
      <c r="AL168" s="530"/>
      <c r="AM168" s="726">
        <f>AJ168</f>
        <v>354.20000000000005</v>
      </c>
      <c r="AN168" s="667">
        <v>177</v>
      </c>
      <c r="AO168" s="580"/>
      <c r="AP168" s="530"/>
      <c r="AQ168" s="530">
        <f>AI168-5%</f>
        <v>0.05</v>
      </c>
      <c r="AR168" s="530">
        <f>AH168*AQ168</f>
        <v>177.10000000000002</v>
      </c>
      <c r="AS168" s="530">
        <f>AN168-AR168</f>
        <v>-0.10000000000002274</v>
      </c>
      <c r="AT168" s="581"/>
      <c r="AU168" s="581"/>
      <c r="AV168" s="531"/>
      <c r="AW168" s="610"/>
    </row>
    <row r="169" spans="1:49" ht="36" customHeight="1">
      <c r="A169" s="574">
        <v>106</v>
      </c>
      <c r="B169" s="531" t="s">
        <v>3265</v>
      </c>
      <c r="C169" s="576" t="s">
        <v>89</v>
      </c>
      <c r="D169" s="525" t="s">
        <v>101</v>
      </c>
      <c r="E169" s="532"/>
      <c r="F169" s="532"/>
      <c r="G169" s="532"/>
      <c r="H169" s="532"/>
      <c r="I169" s="532"/>
      <c r="J169" s="532"/>
      <c r="K169" s="532"/>
      <c r="L169" s="532"/>
      <c r="M169" s="532"/>
      <c r="N169" s="532"/>
      <c r="O169" s="532"/>
      <c r="P169" s="532"/>
      <c r="Q169" s="532"/>
      <c r="R169" s="532"/>
      <c r="S169" s="532"/>
      <c r="T169" s="532"/>
      <c r="U169" s="527"/>
      <c r="V169" s="527"/>
      <c r="W169" s="527"/>
      <c r="X169" s="527"/>
      <c r="Y169" s="527"/>
      <c r="Z169" s="527"/>
      <c r="AA169" s="527"/>
      <c r="AB169" s="527"/>
      <c r="AC169" s="527"/>
      <c r="AD169" s="530">
        <v>1.6</v>
      </c>
      <c r="AE169" s="530"/>
      <c r="AF169" s="529">
        <f t="shared" si="44"/>
        <v>0</v>
      </c>
      <c r="AG169" s="530"/>
      <c r="AH169" s="530"/>
      <c r="AI169" s="545"/>
      <c r="AJ169" s="530"/>
      <c r="AK169" s="530"/>
      <c r="AL169" s="530"/>
      <c r="AM169" s="726">
        <v>1.6</v>
      </c>
      <c r="AN169" s="667"/>
      <c r="AO169" s="580"/>
      <c r="AP169" s="530"/>
      <c r="AQ169" s="530"/>
      <c r="AR169" s="530"/>
      <c r="AS169" s="530"/>
      <c r="AT169" s="581"/>
      <c r="AU169" s="581"/>
      <c r="AV169" s="531"/>
      <c r="AW169" s="532"/>
    </row>
    <row r="170" spans="1:49" ht="31.5" customHeight="1">
      <c r="A170" s="574">
        <v>54</v>
      </c>
      <c r="B170" s="531" t="s">
        <v>3350</v>
      </c>
      <c r="C170" s="603" t="s">
        <v>129</v>
      </c>
      <c r="D170" s="525" t="s">
        <v>98</v>
      </c>
      <c r="E170" s="532"/>
      <c r="F170" s="532"/>
      <c r="G170" s="532"/>
      <c r="H170" s="532"/>
      <c r="I170" s="532"/>
      <c r="J170" s="532"/>
      <c r="K170" s="532"/>
      <c r="L170" s="532"/>
      <c r="M170" s="532"/>
      <c r="N170" s="532"/>
      <c r="O170" s="532"/>
      <c r="P170" s="532"/>
      <c r="Q170" s="532"/>
      <c r="R170" s="532"/>
      <c r="S170" s="532"/>
      <c r="T170" s="532"/>
      <c r="U170" s="527"/>
      <c r="V170" s="527"/>
      <c r="W170" s="527"/>
      <c r="X170" s="527"/>
      <c r="Y170" s="527"/>
      <c r="Z170" s="527"/>
      <c r="AA170" s="527"/>
      <c r="AB170" s="527"/>
      <c r="AC170" s="527"/>
      <c r="AD170" s="644"/>
      <c r="AE170" s="527"/>
      <c r="AF170" s="527"/>
      <c r="AG170" s="527"/>
      <c r="AH170" s="644"/>
      <c r="AI170" s="527"/>
      <c r="AJ170" s="527"/>
      <c r="AK170" s="527"/>
      <c r="AL170" s="527"/>
      <c r="AM170" s="731">
        <v>40</v>
      </c>
      <c r="AN170" s="671"/>
      <c r="AO170" s="635"/>
      <c r="AP170" s="527"/>
      <c r="AQ170" s="527"/>
      <c r="AR170" s="527"/>
      <c r="AS170" s="527"/>
      <c r="AT170" s="636"/>
      <c r="AU170" s="636"/>
      <c r="AV170" s="531"/>
      <c r="AW170" s="532"/>
    </row>
    <row r="171" spans="1:49" ht="31.5" customHeight="1">
      <c r="A171" s="658">
        <v>21</v>
      </c>
      <c r="B171" s="659" t="s">
        <v>138</v>
      </c>
      <c r="C171" s="660" t="s">
        <v>129</v>
      </c>
      <c r="D171" s="525" t="s">
        <v>3211</v>
      </c>
      <c r="E171" s="661"/>
      <c r="F171" s="661"/>
      <c r="G171" s="661"/>
      <c r="H171" s="661"/>
      <c r="I171" s="661"/>
      <c r="J171" s="661"/>
      <c r="K171" s="661"/>
      <c r="L171" s="661"/>
      <c r="M171" s="661"/>
      <c r="N171" s="661"/>
      <c r="O171" s="661"/>
      <c r="P171" s="661"/>
      <c r="Q171" s="661"/>
      <c r="R171" s="661"/>
      <c r="S171" s="661"/>
      <c r="T171" s="661"/>
      <c r="U171" s="662"/>
      <c r="V171" s="662"/>
      <c r="W171" s="662"/>
      <c r="X171" s="662"/>
      <c r="Y171" s="662"/>
      <c r="Z171" s="662"/>
      <c r="AA171" s="662"/>
      <c r="AB171" s="662"/>
      <c r="AC171" s="662"/>
      <c r="AD171" s="663">
        <v>2643</v>
      </c>
      <c r="AE171" s="662"/>
      <c r="AF171" s="662"/>
      <c r="AG171" s="662"/>
      <c r="AH171" s="663"/>
      <c r="AI171" s="741">
        <v>1</v>
      </c>
      <c r="AJ171" s="662"/>
      <c r="AK171" s="662"/>
      <c r="AL171" s="662"/>
      <c r="AM171" s="733">
        <v>2643</v>
      </c>
      <c r="AN171" s="672">
        <f>AM171</f>
        <v>2643</v>
      </c>
      <c r="AO171" s="662"/>
      <c r="AP171" s="662"/>
      <c r="AQ171" s="662"/>
      <c r="AR171" s="662"/>
      <c r="AS171" s="662"/>
      <c r="AT171" s="662"/>
      <c r="AU171" s="662"/>
      <c r="AV171" s="659"/>
      <c r="AW171" s="661"/>
    </row>
    <row r="172" spans="1:49" ht="31.5" customHeight="1">
      <c r="A172" s="658">
        <v>56</v>
      </c>
      <c r="B172" s="659" t="s">
        <v>3165</v>
      </c>
      <c r="C172" s="660" t="s">
        <v>129</v>
      </c>
      <c r="D172" s="525" t="s">
        <v>3211</v>
      </c>
      <c r="E172" s="661"/>
      <c r="F172" s="661"/>
      <c r="G172" s="661"/>
      <c r="H172" s="661"/>
      <c r="I172" s="661"/>
      <c r="J172" s="661"/>
      <c r="K172" s="661"/>
      <c r="L172" s="661"/>
      <c r="M172" s="661"/>
      <c r="N172" s="661"/>
      <c r="O172" s="661"/>
      <c r="P172" s="661"/>
      <c r="Q172" s="661"/>
      <c r="R172" s="661"/>
      <c r="S172" s="661"/>
      <c r="T172" s="661"/>
      <c r="U172" s="662"/>
      <c r="V172" s="662"/>
      <c r="W172" s="662"/>
      <c r="X172" s="662"/>
      <c r="Y172" s="662"/>
      <c r="Z172" s="662"/>
      <c r="AA172" s="662"/>
      <c r="AB172" s="662"/>
      <c r="AC172" s="662"/>
      <c r="AD172" s="663">
        <v>10740.25</v>
      </c>
      <c r="AE172" s="662"/>
      <c r="AF172" s="662"/>
      <c r="AG172" s="662"/>
      <c r="AH172" s="663"/>
      <c r="AI172" s="741">
        <v>1</v>
      </c>
      <c r="AJ172" s="662"/>
      <c r="AK172" s="662"/>
      <c r="AL172" s="662"/>
      <c r="AM172" s="733">
        <v>10740</v>
      </c>
      <c r="AN172" s="672">
        <f t="shared" ref="AN172:AN174" si="58">AM172</f>
        <v>10740</v>
      </c>
      <c r="AO172" s="662"/>
      <c r="AP172" s="662"/>
      <c r="AQ172" s="662"/>
      <c r="AR172" s="662"/>
      <c r="AS172" s="662"/>
      <c r="AT172" s="662"/>
      <c r="AU172" s="662"/>
      <c r="AV172" s="659"/>
      <c r="AW172" s="661"/>
    </row>
    <row r="173" spans="1:49" ht="31.5" customHeight="1">
      <c r="A173" s="658">
        <v>66</v>
      </c>
      <c r="B173" s="659" t="s">
        <v>3349</v>
      </c>
      <c r="C173" s="660" t="s">
        <v>129</v>
      </c>
      <c r="D173" s="525" t="s">
        <v>3211</v>
      </c>
      <c r="E173" s="661"/>
      <c r="F173" s="661"/>
      <c r="G173" s="661"/>
      <c r="H173" s="661"/>
      <c r="I173" s="661"/>
      <c r="J173" s="661"/>
      <c r="K173" s="661"/>
      <c r="L173" s="661"/>
      <c r="M173" s="661"/>
      <c r="N173" s="661"/>
      <c r="O173" s="661"/>
      <c r="P173" s="661"/>
      <c r="Q173" s="661"/>
      <c r="R173" s="661"/>
      <c r="S173" s="661"/>
      <c r="T173" s="661"/>
      <c r="U173" s="662"/>
      <c r="V173" s="662"/>
      <c r="W173" s="662"/>
      <c r="X173" s="662"/>
      <c r="Y173" s="662"/>
      <c r="Z173" s="662"/>
      <c r="AA173" s="662"/>
      <c r="AB173" s="662"/>
      <c r="AC173" s="662"/>
      <c r="AD173" s="663">
        <v>3050</v>
      </c>
      <c r="AE173" s="662"/>
      <c r="AF173" s="662"/>
      <c r="AG173" s="662"/>
      <c r="AH173" s="663"/>
      <c r="AI173" s="741">
        <v>1</v>
      </c>
      <c r="AJ173" s="662"/>
      <c r="AK173" s="662"/>
      <c r="AL173" s="662"/>
      <c r="AM173" s="733">
        <v>3047</v>
      </c>
      <c r="AN173" s="672">
        <f t="shared" si="58"/>
        <v>3047</v>
      </c>
      <c r="AO173" s="662"/>
      <c r="AP173" s="662"/>
      <c r="AQ173" s="662"/>
      <c r="AR173" s="662"/>
      <c r="AS173" s="662"/>
      <c r="AT173" s="662"/>
      <c r="AU173" s="662"/>
      <c r="AV173" s="659"/>
      <c r="AW173" s="661"/>
    </row>
    <row r="174" spans="1:49" ht="31.5" customHeight="1">
      <c r="A174" s="658">
        <v>71</v>
      </c>
      <c r="B174" s="659" t="s">
        <v>3463</v>
      </c>
      <c r="C174" s="660" t="s">
        <v>129</v>
      </c>
      <c r="D174" s="525" t="s">
        <v>3211</v>
      </c>
      <c r="E174" s="661"/>
      <c r="F174" s="661"/>
      <c r="G174" s="661"/>
      <c r="H174" s="661"/>
      <c r="I174" s="661"/>
      <c r="J174" s="661"/>
      <c r="K174" s="661"/>
      <c r="L174" s="661"/>
      <c r="M174" s="661"/>
      <c r="N174" s="661"/>
      <c r="O174" s="661"/>
      <c r="P174" s="661"/>
      <c r="Q174" s="661"/>
      <c r="R174" s="661"/>
      <c r="S174" s="661"/>
      <c r="T174" s="661"/>
      <c r="U174" s="662"/>
      <c r="V174" s="662"/>
      <c r="W174" s="662"/>
      <c r="X174" s="662"/>
      <c r="Y174" s="662"/>
      <c r="Z174" s="662"/>
      <c r="AA174" s="662"/>
      <c r="AB174" s="662"/>
      <c r="AC174" s="662"/>
      <c r="AD174" s="663">
        <v>370</v>
      </c>
      <c r="AE174" s="662"/>
      <c r="AF174" s="662"/>
      <c r="AG174" s="662"/>
      <c r="AH174" s="663"/>
      <c r="AI174" s="741">
        <v>1</v>
      </c>
      <c r="AJ174" s="662"/>
      <c r="AK174" s="662"/>
      <c r="AL174" s="662"/>
      <c r="AM174" s="733">
        <v>224</v>
      </c>
      <c r="AN174" s="672">
        <f t="shared" si="58"/>
        <v>224</v>
      </c>
      <c r="AO174" s="662"/>
      <c r="AP174" s="662"/>
      <c r="AQ174" s="662"/>
      <c r="AR174" s="662"/>
      <c r="AS174" s="662"/>
      <c r="AT174" s="662"/>
      <c r="AU174" s="662"/>
      <c r="AV174" s="659"/>
      <c r="AW174" s="661"/>
    </row>
    <row r="175" spans="1:49" ht="44.45" customHeight="1">
      <c r="A175" s="531">
        <v>22</v>
      </c>
      <c r="B175" s="531" t="s">
        <v>3233</v>
      </c>
      <c r="C175" s="603" t="s">
        <v>3433</v>
      </c>
      <c r="D175" s="525" t="s">
        <v>3460</v>
      </c>
      <c r="E175" s="645"/>
      <c r="F175" s="645"/>
      <c r="G175" s="645"/>
      <c r="H175" s="645"/>
      <c r="I175" s="645"/>
      <c r="J175" s="645"/>
      <c r="K175" s="645"/>
      <c r="L175" s="645"/>
      <c r="M175" s="645"/>
      <c r="N175" s="645"/>
      <c r="O175" s="645"/>
      <c r="P175" s="645"/>
      <c r="Q175" s="645"/>
      <c r="R175" s="645"/>
      <c r="S175" s="645"/>
      <c r="T175" s="645"/>
      <c r="U175" s="636"/>
      <c r="V175" s="636"/>
      <c r="W175" s="636"/>
      <c r="X175" s="636"/>
      <c r="Y175" s="636"/>
      <c r="Z175" s="636"/>
      <c r="AA175" s="636"/>
      <c r="AB175" s="636"/>
      <c r="AC175" s="636"/>
      <c r="AD175" s="646">
        <v>880</v>
      </c>
      <c r="AE175" s="636"/>
      <c r="AF175" s="636"/>
      <c r="AG175" s="636"/>
      <c r="AH175" s="646"/>
      <c r="AI175" s="741">
        <v>1</v>
      </c>
      <c r="AJ175" s="636"/>
      <c r="AK175" s="636"/>
      <c r="AL175" s="636"/>
      <c r="AM175" s="734">
        <v>880</v>
      </c>
      <c r="AN175" s="667">
        <f>AM175</f>
        <v>880</v>
      </c>
      <c r="AO175" s="636"/>
      <c r="AP175" s="636"/>
      <c r="AQ175" s="636"/>
      <c r="AR175" s="636"/>
      <c r="AS175" s="636"/>
      <c r="AT175" s="636"/>
      <c r="AU175" s="636"/>
      <c r="AV175" s="647"/>
      <c r="AW175" s="645"/>
    </row>
    <row r="176" spans="1:49" ht="44.45" customHeight="1">
      <c r="A176" s="531">
        <v>37</v>
      </c>
      <c r="B176" s="531" t="s">
        <v>3514</v>
      </c>
      <c r="C176" s="603" t="s">
        <v>3434</v>
      </c>
      <c r="D176" s="525" t="s">
        <v>3460</v>
      </c>
      <c r="E176" s="645"/>
      <c r="F176" s="645"/>
      <c r="G176" s="645"/>
      <c r="H176" s="645"/>
      <c r="I176" s="645"/>
      <c r="J176" s="645"/>
      <c r="K176" s="645"/>
      <c r="L176" s="645"/>
      <c r="M176" s="645"/>
      <c r="N176" s="645"/>
      <c r="O176" s="645"/>
      <c r="P176" s="645"/>
      <c r="Q176" s="645"/>
      <c r="R176" s="645"/>
      <c r="S176" s="645"/>
      <c r="T176" s="645"/>
      <c r="U176" s="636"/>
      <c r="V176" s="636"/>
      <c r="W176" s="636"/>
      <c r="X176" s="636"/>
      <c r="Y176" s="636"/>
      <c r="Z176" s="636"/>
      <c r="AA176" s="636"/>
      <c r="AB176" s="636"/>
      <c r="AC176" s="636"/>
      <c r="AD176" s="646">
        <v>5423</v>
      </c>
      <c r="AE176" s="636"/>
      <c r="AF176" s="636"/>
      <c r="AG176" s="636"/>
      <c r="AH176" s="646">
        <v>5128</v>
      </c>
      <c r="AI176" s="741">
        <v>1</v>
      </c>
      <c r="AJ176" s="636"/>
      <c r="AK176" s="636">
        <v>710</v>
      </c>
      <c r="AL176" s="529">
        <f>AK176*7</f>
        <v>4970</v>
      </c>
      <c r="AM176" s="734">
        <v>4970</v>
      </c>
      <c r="AN176" s="739">
        <v>5128</v>
      </c>
      <c r="AO176" s="636"/>
      <c r="AP176" s="636"/>
      <c r="AQ176" s="636">
        <v>1</v>
      </c>
      <c r="AR176" s="530">
        <f>AH176*AQ176</f>
        <v>5128</v>
      </c>
      <c r="AS176" s="530">
        <f>AN176-AR176</f>
        <v>0</v>
      </c>
      <c r="AT176" s="636"/>
      <c r="AU176" s="636"/>
      <c r="AV176" s="647" t="s">
        <v>3461</v>
      </c>
      <c r="AW176" s="645"/>
    </row>
    <row r="177" spans="1:49" ht="44.45" customHeight="1">
      <c r="A177" s="531">
        <v>72</v>
      </c>
      <c r="B177" s="531" t="s">
        <v>173</v>
      </c>
      <c r="C177" s="603" t="s">
        <v>3435</v>
      </c>
      <c r="D177" s="525" t="s">
        <v>3460</v>
      </c>
      <c r="E177" s="645"/>
      <c r="F177" s="645"/>
      <c r="G177" s="645"/>
      <c r="H177" s="645"/>
      <c r="I177" s="645"/>
      <c r="J177" s="645"/>
      <c r="K177" s="645"/>
      <c r="L177" s="645"/>
      <c r="M177" s="645"/>
      <c r="N177" s="645"/>
      <c r="O177" s="645"/>
      <c r="P177" s="645"/>
      <c r="Q177" s="645"/>
      <c r="R177" s="645"/>
      <c r="S177" s="645"/>
      <c r="T177" s="645"/>
      <c r="U177" s="636"/>
      <c r="V177" s="636"/>
      <c r="W177" s="636"/>
      <c r="X177" s="636"/>
      <c r="Y177" s="636"/>
      <c r="Z177" s="636"/>
      <c r="AA177" s="636"/>
      <c r="AB177" s="636"/>
      <c r="AC177" s="636"/>
      <c r="AD177" s="646"/>
      <c r="AE177" s="636"/>
      <c r="AF177" s="636"/>
      <c r="AG177" s="636"/>
      <c r="AH177" s="646"/>
      <c r="AI177" s="741">
        <v>1</v>
      </c>
      <c r="AJ177" s="636"/>
      <c r="AK177" s="636"/>
      <c r="AL177" s="636"/>
      <c r="AM177" s="734">
        <v>703</v>
      </c>
      <c r="AN177" s="739"/>
      <c r="AO177" s="636"/>
      <c r="AP177" s="636"/>
      <c r="AQ177" s="636"/>
      <c r="AR177" s="636"/>
      <c r="AS177" s="636"/>
      <c r="AT177" s="636"/>
      <c r="AU177" s="636"/>
      <c r="AV177" s="647"/>
      <c r="AW177" s="645"/>
    </row>
    <row r="178" spans="1:49" ht="44.45" customHeight="1">
      <c r="A178" s="531">
        <v>99</v>
      </c>
      <c r="B178" s="531" t="s">
        <v>3515</v>
      </c>
      <c r="C178" s="603" t="s">
        <v>3434</v>
      </c>
      <c r="D178" s="525" t="s">
        <v>3460</v>
      </c>
      <c r="E178" s="645"/>
      <c r="F178" s="645"/>
      <c r="G178" s="645"/>
      <c r="H178" s="645"/>
      <c r="I178" s="645"/>
      <c r="J178" s="645"/>
      <c r="K178" s="645"/>
      <c r="L178" s="645"/>
      <c r="M178" s="645"/>
      <c r="N178" s="645"/>
      <c r="O178" s="645"/>
      <c r="P178" s="645"/>
      <c r="Q178" s="645"/>
      <c r="R178" s="645"/>
      <c r="S178" s="645"/>
      <c r="T178" s="645"/>
      <c r="U178" s="636"/>
      <c r="V178" s="636"/>
      <c r="W178" s="636"/>
      <c r="X178" s="636"/>
      <c r="Y178" s="636"/>
      <c r="Z178" s="636"/>
      <c r="AA178" s="636"/>
      <c r="AB178" s="636"/>
      <c r="AC178" s="636"/>
      <c r="AD178" s="646">
        <v>16902</v>
      </c>
      <c r="AE178" s="636"/>
      <c r="AF178" s="636"/>
      <c r="AG178" s="636"/>
      <c r="AH178" s="646">
        <v>118317</v>
      </c>
      <c r="AI178" s="741">
        <v>1</v>
      </c>
      <c r="AJ178" s="636"/>
      <c r="AK178" s="636">
        <v>18116</v>
      </c>
      <c r="AL178" s="529">
        <f>AK178*7</f>
        <v>126812</v>
      </c>
      <c r="AM178" s="734">
        <f>AH178</f>
        <v>118317</v>
      </c>
      <c r="AN178" s="739">
        <v>119659.620465</v>
      </c>
      <c r="AO178" s="636"/>
      <c r="AP178" s="636"/>
      <c r="AQ178" s="636">
        <v>1</v>
      </c>
      <c r="AR178" s="530">
        <f>AH178*AQ178</f>
        <v>118317</v>
      </c>
      <c r="AS178" s="530">
        <f>AN178-AR178</f>
        <v>1342.620465</v>
      </c>
      <c r="AT178" s="636"/>
      <c r="AU178" s="636"/>
      <c r="AV178" s="647"/>
      <c r="AW178" s="645"/>
    </row>
    <row r="179" spans="1:49" ht="44.45" customHeight="1">
      <c r="A179" s="531">
        <v>108</v>
      </c>
      <c r="B179" s="531" t="s">
        <v>178</v>
      </c>
      <c r="C179" s="603" t="s">
        <v>3432</v>
      </c>
      <c r="D179" s="525" t="s">
        <v>3460</v>
      </c>
      <c r="E179" s="645"/>
      <c r="F179" s="645"/>
      <c r="G179" s="645"/>
      <c r="H179" s="645"/>
      <c r="I179" s="645"/>
      <c r="J179" s="645"/>
      <c r="K179" s="645"/>
      <c r="L179" s="645"/>
      <c r="M179" s="645"/>
      <c r="N179" s="645"/>
      <c r="O179" s="645"/>
      <c r="P179" s="645"/>
      <c r="Q179" s="645"/>
      <c r="R179" s="645"/>
      <c r="S179" s="645"/>
      <c r="T179" s="645"/>
      <c r="U179" s="636"/>
      <c r="V179" s="636"/>
      <c r="W179" s="636"/>
      <c r="X179" s="636"/>
      <c r="Y179" s="636"/>
      <c r="Z179" s="636"/>
      <c r="AA179" s="636"/>
      <c r="AB179" s="636"/>
      <c r="AC179" s="636"/>
      <c r="AD179" s="646"/>
      <c r="AE179" s="636"/>
      <c r="AF179" s="636"/>
      <c r="AG179" s="636"/>
      <c r="AH179" s="646"/>
      <c r="AI179" s="741">
        <v>1</v>
      </c>
      <c r="AJ179" s="636"/>
      <c r="AK179" s="636"/>
      <c r="AL179" s="636"/>
      <c r="AM179" s="734">
        <v>340</v>
      </c>
      <c r="AN179" s="739">
        <v>340</v>
      </c>
      <c r="AO179" s="636"/>
      <c r="AP179" s="636"/>
      <c r="AQ179" s="636"/>
      <c r="AR179" s="636"/>
      <c r="AS179" s="636"/>
      <c r="AT179" s="636"/>
      <c r="AU179" s="636"/>
      <c r="AV179" s="647"/>
      <c r="AW179" s="645"/>
    </row>
    <row r="180" spans="1:49" ht="44.45" customHeight="1">
      <c r="A180" s="531">
        <v>107</v>
      </c>
      <c r="B180" s="531" t="s">
        <v>176</v>
      </c>
      <c r="C180" s="603" t="s">
        <v>3432</v>
      </c>
      <c r="D180" s="525" t="s">
        <v>3460</v>
      </c>
      <c r="E180" s="645"/>
      <c r="F180" s="645"/>
      <c r="G180" s="645"/>
      <c r="H180" s="645"/>
      <c r="I180" s="645"/>
      <c r="J180" s="645"/>
      <c r="K180" s="645"/>
      <c r="L180" s="645"/>
      <c r="M180" s="645"/>
      <c r="N180" s="645"/>
      <c r="O180" s="645"/>
      <c r="P180" s="645"/>
      <c r="Q180" s="645"/>
      <c r="R180" s="645"/>
      <c r="S180" s="645"/>
      <c r="T180" s="645"/>
      <c r="U180" s="636"/>
      <c r="V180" s="636"/>
      <c r="W180" s="636"/>
      <c r="X180" s="636"/>
      <c r="Y180" s="636"/>
      <c r="Z180" s="636"/>
      <c r="AA180" s="636"/>
      <c r="AB180" s="636"/>
      <c r="AC180" s="636"/>
      <c r="AD180" s="646"/>
      <c r="AE180" s="636"/>
      <c r="AF180" s="636"/>
      <c r="AG180" s="636"/>
      <c r="AH180" s="646"/>
      <c r="AI180" s="741">
        <v>1</v>
      </c>
      <c r="AJ180" s="636"/>
      <c r="AK180" s="636"/>
      <c r="AL180" s="636"/>
      <c r="AM180" s="734">
        <v>480</v>
      </c>
      <c r="AN180" s="739">
        <v>350</v>
      </c>
      <c r="AO180" s="636"/>
      <c r="AP180" s="636"/>
      <c r="AQ180" s="636"/>
      <c r="AR180" s="636"/>
      <c r="AS180" s="636"/>
      <c r="AT180" s="636"/>
      <c r="AU180" s="636"/>
      <c r="AV180" s="647"/>
      <c r="AW180" s="645"/>
    </row>
    <row r="181" spans="1:49" ht="44.45" customHeight="1">
      <c r="A181" s="531">
        <v>106</v>
      </c>
      <c r="B181" s="531" t="s">
        <v>3265</v>
      </c>
      <c r="C181" s="603" t="s">
        <v>3432</v>
      </c>
      <c r="D181" s="525" t="s">
        <v>3460</v>
      </c>
      <c r="E181" s="645"/>
      <c r="F181" s="645"/>
      <c r="G181" s="645"/>
      <c r="H181" s="645"/>
      <c r="I181" s="645"/>
      <c r="J181" s="645"/>
      <c r="K181" s="645"/>
      <c r="L181" s="645"/>
      <c r="M181" s="645"/>
      <c r="N181" s="645"/>
      <c r="O181" s="645"/>
      <c r="P181" s="645"/>
      <c r="Q181" s="645"/>
      <c r="R181" s="645"/>
      <c r="S181" s="645"/>
      <c r="T181" s="645"/>
      <c r="U181" s="636"/>
      <c r="V181" s="636"/>
      <c r="W181" s="636"/>
      <c r="X181" s="636"/>
      <c r="Y181" s="636"/>
      <c r="Z181" s="636"/>
      <c r="AA181" s="636"/>
      <c r="AB181" s="636"/>
      <c r="AC181" s="636"/>
      <c r="AD181" s="646"/>
      <c r="AE181" s="636"/>
      <c r="AF181" s="636"/>
      <c r="AG181" s="636"/>
      <c r="AH181" s="646"/>
      <c r="AI181" s="741">
        <v>1</v>
      </c>
      <c r="AJ181" s="636"/>
      <c r="AK181" s="636"/>
      <c r="AL181" s="636"/>
      <c r="AM181" s="734">
        <v>350</v>
      </c>
      <c r="AN181" s="739">
        <v>350</v>
      </c>
      <c r="AO181" s="636"/>
      <c r="AP181" s="636"/>
      <c r="AQ181" s="636"/>
      <c r="AR181" s="636"/>
      <c r="AS181" s="636"/>
      <c r="AT181" s="636"/>
      <c r="AU181" s="636"/>
      <c r="AV181" s="647"/>
      <c r="AW181" s="645"/>
    </row>
    <row r="182" spans="1:49" ht="30.6" customHeight="1">
      <c r="D182" s="651"/>
      <c r="AJ182" s="561"/>
      <c r="AL182" s="561"/>
      <c r="AQ182" s="561"/>
      <c r="AR182" s="561"/>
      <c r="AS182" s="561"/>
      <c r="AT182" s="561"/>
      <c r="AU182" s="561"/>
    </row>
    <row r="183" spans="1:49">
      <c r="AJ183" s="561"/>
      <c r="AL183" s="561"/>
      <c r="AN183" s="673">
        <f>SUBTOTAL(9,AN6:AN167)</f>
        <v>112657.08085984997</v>
      </c>
      <c r="AO183" s="561">
        <f t="shared" ref="AO183:AP183" si="59">SUBTOTAL(9,AO6:AO167)</f>
        <v>11825.222158203012</v>
      </c>
      <c r="AP183" s="561">
        <f t="shared" si="59"/>
        <v>16.07014972842974</v>
      </c>
      <c r="AQ183" s="561"/>
      <c r="AR183" s="561">
        <f>SUBTOTAL(9,AR6:AR167)</f>
        <v>111423.66400405203</v>
      </c>
    </row>
    <row r="184" spans="1:49">
      <c r="AJ184" s="561"/>
      <c r="AL184" s="561"/>
      <c r="AN184" s="673">
        <v>13364.55</v>
      </c>
    </row>
    <row r="185" spans="1:49">
      <c r="AD185" s="652">
        <f>76*7+318+211+248+433+324+490</f>
        <v>2556</v>
      </c>
      <c r="AH185" s="652">
        <f>AH141*0.05</f>
        <v>441.56875000000014</v>
      </c>
      <c r="AJ185" s="561"/>
      <c r="AL185" s="561"/>
      <c r="AN185" s="673">
        <f>AN183-AN184</f>
        <v>99292.530859849969</v>
      </c>
    </row>
    <row r="186" spans="1:49">
      <c r="AM186" s="735">
        <f>SUBTOTAL(9,AM14:AM181)</f>
        <v>294170.28689820296</v>
      </c>
      <c r="AN186" s="673">
        <f>SUBTOTAL(9,AN6:AN174)</f>
        <v>129488.08085984997</v>
      </c>
    </row>
    <row r="188" spans="1:49">
      <c r="AJ188" s="558" t="s">
        <v>3376</v>
      </c>
      <c r="AL188" s="680" t="s">
        <v>3373</v>
      </c>
    </row>
    <row r="189" spans="1:49">
      <c r="AF189" s="561">
        <v>3650</v>
      </c>
      <c r="AG189" s="561">
        <v>1600</v>
      </c>
      <c r="AI189" s="561">
        <f>750*7</f>
        <v>5250</v>
      </c>
      <c r="AJ189" s="558">
        <f>1200*7</f>
        <v>8400</v>
      </c>
      <c r="AL189" s="680">
        <v>2400</v>
      </c>
    </row>
    <row r="191" spans="1:49">
      <c r="AL191" s="680">
        <f>AL189*7</f>
        <v>16800</v>
      </c>
    </row>
    <row r="192" spans="1:49">
      <c r="AF192" s="561">
        <f>AF189/0.2</f>
        <v>18250</v>
      </c>
      <c r="AG192" s="561">
        <f>AG189/0.2</f>
        <v>8000</v>
      </c>
      <c r="AH192" s="561"/>
    </row>
    <row r="203" spans="34:34">
      <c r="AH203" s="561"/>
    </row>
  </sheetData>
  <autoFilter ref="A1:AW185">
    <filterColumn colId="4" showButton="0"/>
    <filterColumn colId="5" showButton="0"/>
    <filterColumn colId="6" showButton="0"/>
    <filterColumn colId="7" showButton="0"/>
    <filterColumn colId="8" showButton="0"/>
    <filterColumn colId="9" showButton="0"/>
    <filterColumn colId="10" showButton="0"/>
    <filterColumn colId="11" showButton="0"/>
    <filterColumn colId="12" showButton="0"/>
    <filterColumn colId="13" showButton="0"/>
    <filterColumn colId="14" showButton="0"/>
    <filterColumn colId="15" showButton="0"/>
    <filterColumn colId="17" showButton="0"/>
    <filterColumn colId="18" showButton="0"/>
    <filterColumn colId="20" showButton="0"/>
    <filterColumn colId="21" showButton="0"/>
    <filterColumn colId="22" showButton="0"/>
    <filterColumn colId="23" showButton="0"/>
    <filterColumn colId="24" showButton="0"/>
    <filterColumn colId="25" showButton="0"/>
    <filterColumn colId="26" showButton="0"/>
    <filterColumn colId="27" showButton="0"/>
  </autoFilter>
  <sortState ref="A4:AO175">
    <sortCondition ref="A4"/>
  </sortState>
  <mergeCells count="3">
    <mergeCell ref="R1:T1"/>
    <mergeCell ref="U1:AC1"/>
    <mergeCell ref="E1:Q1"/>
  </mergeCells>
  <phoneticPr fontId="92" type="noConversion"/>
  <conditionalFormatting sqref="B68">
    <cfRule type="duplicateValues" dxfId="3" priority="6"/>
  </conditionalFormatting>
  <conditionalFormatting sqref="B68">
    <cfRule type="duplicateValues" dxfId="2" priority="4"/>
    <cfRule type="duplicateValues" dxfId="1" priority="5"/>
  </conditionalFormatting>
  <pageMargins left="0.75" right="0.75" top="1" bottom="1" header="0.5" footer="0.5"/>
  <pageSetup paperSize="9" orientation="portrait"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K18"/>
  <sheetViews>
    <sheetView workbookViewId="0">
      <selection activeCell="B43" sqref="B43"/>
    </sheetView>
  </sheetViews>
  <sheetFormatPr defaultColWidth="8.875" defaultRowHeight="13.5"/>
  <cols>
    <col min="1" max="1" width="14.5" style="266" customWidth="1"/>
    <col min="2" max="2" width="19" style="266" customWidth="1"/>
    <col min="3" max="7" width="8.875" style="266"/>
    <col min="8" max="8" width="9.625" style="266"/>
    <col min="9" max="9" width="8.875" style="266"/>
    <col min="10" max="10" width="10.625" style="266"/>
    <col min="11" max="11" width="12.875" style="266"/>
    <col min="12" max="16384" width="8.875" style="266"/>
  </cols>
  <sheetData>
    <row r="1" spans="1:9" ht="20.100000000000001" customHeight="1">
      <c r="A1" s="843" t="s">
        <v>293</v>
      </c>
      <c r="B1" s="844"/>
      <c r="C1" s="844"/>
      <c r="D1" s="844"/>
      <c r="E1" s="844"/>
      <c r="F1" s="844"/>
      <c r="G1" s="844"/>
      <c r="H1" s="844"/>
      <c r="I1" s="844"/>
    </row>
    <row r="2" spans="1:9" ht="20.100000000000001" customHeight="1">
      <c r="A2" s="203" t="s">
        <v>180</v>
      </c>
      <c r="B2" s="203" t="s">
        <v>190</v>
      </c>
      <c r="C2" s="845"/>
      <c r="D2" s="845"/>
      <c r="E2" s="845"/>
      <c r="F2" s="845"/>
      <c r="G2" s="845"/>
      <c r="H2" s="845" t="s">
        <v>292</v>
      </c>
      <c r="I2" s="845"/>
    </row>
    <row r="3" spans="1:9" ht="20.100000000000001" customHeight="1">
      <c r="A3" s="203">
        <v>1</v>
      </c>
      <c r="B3" s="203" t="s">
        <v>294</v>
      </c>
      <c r="C3" s="845" t="s">
        <v>295</v>
      </c>
      <c r="D3" s="845"/>
      <c r="E3" s="845"/>
      <c r="F3" s="845"/>
      <c r="G3" s="845"/>
      <c r="H3" s="267">
        <f>359735+429181+316568+700597</f>
        <v>1806081</v>
      </c>
      <c r="I3" s="846" t="s">
        <v>296</v>
      </c>
    </row>
    <row r="4" spans="1:9" ht="20.100000000000001" customHeight="1">
      <c r="A4" s="203">
        <v>2</v>
      </c>
      <c r="B4" s="203" t="s">
        <v>297</v>
      </c>
      <c r="C4" s="845" t="s">
        <v>298</v>
      </c>
      <c r="D4" s="845"/>
      <c r="E4" s="845"/>
      <c r="F4" s="845"/>
      <c r="G4" s="845"/>
      <c r="H4" s="267">
        <f>3992486+483000+75116</f>
        <v>4550602</v>
      </c>
      <c r="I4" s="847"/>
    </row>
    <row r="5" spans="1:9" ht="20.100000000000001" customHeight="1">
      <c r="A5" s="203">
        <v>3</v>
      </c>
      <c r="B5" s="203" t="s">
        <v>299</v>
      </c>
      <c r="C5" s="845" t="s">
        <v>300</v>
      </c>
      <c r="D5" s="845"/>
      <c r="E5" s="845"/>
      <c r="F5" s="845"/>
      <c r="G5" s="845"/>
      <c r="H5" s="267">
        <f>1285392</f>
        <v>1285392</v>
      </c>
      <c r="I5" s="848"/>
    </row>
    <row r="6" spans="1:9" ht="20.100000000000001" customHeight="1">
      <c r="A6" s="203">
        <v>4</v>
      </c>
      <c r="B6" s="203" t="s">
        <v>301</v>
      </c>
      <c r="C6" s="845" t="s">
        <v>302</v>
      </c>
      <c r="D6" s="845"/>
      <c r="E6" s="845"/>
      <c r="F6" s="845"/>
      <c r="G6" s="845"/>
      <c r="H6" s="267">
        <f>11457823</f>
        <v>11457823</v>
      </c>
      <c r="I6" s="203" t="s">
        <v>303</v>
      </c>
    </row>
    <row r="7" spans="1:9" ht="20.100000000000001" customHeight="1">
      <c r="A7" s="203">
        <v>5</v>
      </c>
      <c r="B7" s="203" t="s">
        <v>304</v>
      </c>
      <c r="C7" s="845" t="s">
        <v>305</v>
      </c>
      <c r="D7" s="845"/>
      <c r="E7" s="845"/>
      <c r="F7" s="845"/>
      <c r="G7" s="845"/>
      <c r="H7" s="267">
        <f>3260012</f>
        <v>3260012</v>
      </c>
      <c r="I7" s="203" t="s">
        <v>306</v>
      </c>
    </row>
    <row r="8" spans="1:9" ht="20.100000000000001" customHeight="1">
      <c r="A8" s="203">
        <v>6</v>
      </c>
      <c r="B8" s="203" t="s">
        <v>307</v>
      </c>
      <c r="C8" s="845" t="s">
        <v>308</v>
      </c>
      <c r="D8" s="845"/>
      <c r="E8" s="845"/>
      <c r="F8" s="845"/>
      <c r="G8" s="845"/>
      <c r="H8" s="267">
        <f>448790+448787</f>
        <v>897577</v>
      </c>
      <c r="I8" s="203" t="s">
        <v>296</v>
      </c>
    </row>
    <row r="9" spans="1:9" ht="20.100000000000001" customHeight="1">
      <c r="A9" s="203">
        <v>7</v>
      </c>
      <c r="B9" s="203" t="s">
        <v>309</v>
      </c>
      <c r="C9" s="845" t="s">
        <v>310</v>
      </c>
      <c r="D9" s="845"/>
      <c r="E9" s="845"/>
      <c r="F9" s="845"/>
      <c r="G9" s="845"/>
      <c r="H9" s="267">
        <f>102300</f>
        <v>102300</v>
      </c>
      <c r="I9" s="203" t="s">
        <v>311</v>
      </c>
    </row>
    <row r="10" spans="1:9" ht="20.100000000000001" customHeight="1">
      <c r="A10" s="203">
        <v>8</v>
      </c>
      <c r="B10" s="203" t="s">
        <v>312</v>
      </c>
      <c r="C10" s="845" t="s">
        <v>313</v>
      </c>
      <c r="D10" s="845"/>
      <c r="E10" s="845"/>
      <c r="F10" s="845"/>
      <c r="G10" s="845"/>
      <c r="H10" s="267">
        <f>316699</f>
        <v>316699</v>
      </c>
      <c r="I10" s="846" t="s">
        <v>296</v>
      </c>
    </row>
    <row r="11" spans="1:9" ht="20.100000000000001" customHeight="1">
      <c r="A11" s="203">
        <v>9</v>
      </c>
      <c r="B11" s="203" t="s">
        <v>314</v>
      </c>
      <c r="C11" s="845" t="s">
        <v>315</v>
      </c>
      <c r="D11" s="845"/>
      <c r="E11" s="845"/>
      <c r="F11" s="845"/>
      <c r="G11" s="845"/>
      <c r="H11" s="267">
        <f>4846+49726+102246</f>
        <v>156818</v>
      </c>
      <c r="I11" s="847"/>
    </row>
    <row r="12" spans="1:9" ht="30.95" customHeight="1">
      <c r="A12" s="203">
        <v>10</v>
      </c>
      <c r="B12" s="203" t="s">
        <v>316</v>
      </c>
      <c r="C12" s="849" t="s">
        <v>317</v>
      </c>
      <c r="D12" s="849"/>
      <c r="E12" s="849"/>
      <c r="F12" s="849"/>
      <c r="G12" s="849"/>
      <c r="H12" s="267">
        <f>10885+487617+49585+21639+267422+297403</f>
        <v>1134551</v>
      </c>
      <c r="I12" s="847"/>
    </row>
    <row r="13" spans="1:9" ht="20.100000000000001" customHeight="1">
      <c r="A13" s="203">
        <v>11</v>
      </c>
      <c r="B13" s="203" t="s">
        <v>318</v>
      </c>
      <c r="C13" s="845" t="s">
        <v>319</v>
      </c>
      <c r="D13" s="845"/>
      <c r="E13" s="845"/>
      <c r="F13" s="845"/>
      <c r="G13" s="845"/>
      <c r="H13" s="267">
        <f>16910</f>
        <v>16910</v>
      </c>
      <c r="I13" s="847"/>
    </row>
    <row r="14" spans="1:9" ht="20.100000000000001" customHeight="1">
      <c r="A14" s="203">
        <v>12</v>
      </c>
      <c r="B14" s="203" t="s">
        <v>320</v>
      </c>
      <c r="C14" s="845" t="s">
        <v>321</v>
      </c>
      <c r="D14" s="845"/>
      <c r="E14" s="845"/>
      <c r="F14" s="845"/>
      <c r="G14" s="845"/>
      <c r="H14" s="267">
        <f>1026600</f>
        <v>1026600</v>
      </c>
      <c r="I14" s="847"/>
    </row>
    <row r="15" spans="1:9" ht="20.100000000000001" customHeight="1">
      <c r="A15" s="203">
        <v>13</v>
      </c>
      <c r="B15" s="203" t="s">
        <v>322</v>
      </c>
      <c r="C15" s="845" t="s">
        <v>323</v>
      </c>
      <c r="D15" s="845"/>
      <c r="E15" s="845"/>
      <c r="F15" s="845"/>
      <c r="G15" s="845"/>
      <c r="H15" s="267">
        <f>7396734</f>
        <v>7396734</v>
      </c>
      <c r="I15" s="847"/>
    </row>
    <row r="16" spans="1:9" ht="20.100000000000001" customHeight="1">
      <c r="A16" s="203">
        <v>14</v>
      </c>
      <c r="B16" s="203" t="s">
        <v>324</v>
      </c>
      <c r="C16" s="845" t="s">
        <v>325</v>
      </c>
      <c r="D16" s="845"/>
      <c r="E16" s="845"/>
      <c r="F16" s="845"/>
      <c r="G16" s="845"/>
      <c r="H16" s="267">
        <f>405348+38743+369259+17329</f>
        <v>830679</v>
      </c>
      <c r="I16" s="847"/>
    </row>
    <row r="17" spans="1:11" ht="20.100000000000001" customHeight="1">
      <c r="A17" s="203">
        <v>15</v>
      </c>
      <c r="B17" s="203" t="s">
        <v>326</v>
      </c>
      <c r="C17" s="845" t="s">
        <v>327</v>
      </c>
      <c r="D17" s="845"/>
      <c r="E17" s="845"/>
      <c r="F17" s="845"/>
      <c r="G17" s="845"/>
      <c r="H17" s="267">
        <f>1694560</f>
        <v>1694560</v>
      </c>
      <c r="I17" s="848"/>
    </row>
    <row r="18" spans="1:11">
      <c r="A18" s="845" t="s">
        <v>182</v>
      </c>
      <c r="B18" s="845"/>
      <c r="C18" s="845"/>
      <c r="D18" s="845"/>
      <c r="E18" s="845"/>
      <c r="F18" s="845"/>
      <c r="G18" s="845"/>
      <c r="H18" s="849">
        <v>184221518.04519999</v>
      </c>
      <c r="I18" s="849"/>
      <c r="J18" s="268">
        <f>(H3+H4+H5+H10+H11+H12+H13+H14+H15+H16+H17)*7.0795+H9+H8*7.0795+H6*0.7589+H7*7.961</f>
        <v>184221518.04520005</v>
      </c>
      <c r="K18" s="266">
        <f>J18*8%</f>
        <v>14737721.443616005</v>
      </c>
    </row>
  </sheetData>
  <mergeCells count="22">
    <mergeCell ref="C16:G16"/>
    <mergeCell ref="C17:G17"/>
    <mergeCell ref="A18:G18"/>
    <mergeCell ref="H18:I18"/>
    <mergeCell ref="I10:I17"/>
    <mergeCell ref="C10:G10"/>
    <mergeCell ref="C11:G11"/>
    <mergeCell ref="C12:G12"/>
    <mergeCell ref="C13:G13"/>
    <mergeCell ref="C14:G14"/>
    <mergeCell ref="C6:G6"/>
    <mergeCell ref="C7:G7"/>
    <mergeCell ref="C8:G8"/>
    <mergeCell ref="C9:G9"/>
    <mergeCell ref="C15:G15"/>
    <mergeCell ref="A1:I1"/>
    <mergeCell ref="C2:G2"/>
    <mergeCell ref="H2:I2"/>
    <mergeCell ref="C3:G3"/>
    <mergeCell ref="C4:G4"/>
    <mergeCell ref="I3:I5"/>
    <mergeCell ref="C5:G5"/>
  </mergeCells>
  <phoneticPr fontId="92" type="noConversion"/>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F17"/>
  <sheetViews>
    <sheetView workbookViewId="0">
      <selection activeCell="B43" sqref="B43"/>
    </sheetView>
  </sheetViews>
  <sheetFormatPr defaultColWidth="8.875" defaultRowHeight="13.5"/>
  <cols>
    <col min="1" max="1" width="30.875" customWidth="1"/>
    <col min="2" max="2" width="18.625" customWidth="1"/>
    <col min="3" max="3" width="28.375" customWidth="1"/>
    <col min="4" max="4" width="15.625" customWidth="1"/>
    <col min="5" max="5" width="17.125" customWidth="1"/>
    <col min="6" max="6" width="12" customWidth="1"/>
  </cols>
  <sheetData>
    <row r="1" spans="1:6" ht="17.25">
      <c r="A1" s="851" t="s">
        <v>328</v>
      </c>
      <c r="B1" s="850" t="s">
        <v>329</v>
      </c>
      <c r="C1" s="850"/>
      <c r="D1" s="850"/>
      <c r="E1" s="850"/>
      <c r="F1" s="853" t="s">
        <v>330</v>
      </c>
    </row>
    <row r="2" spans="1:6" ht="54.75">
      <c r="A2" s="852"/>
      <c r="B2" s="250" t="s">
        <v>331</v>
      </c>
      <c r="C2" s="250" t="s">
        <v>332</v>
      </c>
      <c r="D2" s="250" t="s">
        <v>333</v>
      </c>
      <c r="E2" s="252" t="s">
        <v>334</v>
      </c>
      <c r="F2" s="853"/>
    </row>
    <row r="3" spans="1:6" ht="16.5">
      <c r="A3" s="253" t="s">
        <v>335</v>
      </c>
      <c r="B3" s="254" t="s">
        <v>336</v>
      </c>
      <c r="C3" s="254" t="s">
        <v>337</v>
      </c>
      <c r="D3" s="253" t="s">
        <v>338</v>
      </c>
      <c r="E3" s="255">
        <v>77360.28</v>
      </c>
      <c r="F3" s="253" t="s">
        <v>339</v>
      </c>
    </row>
    <row r="4" spans="1:6" ht="16.5">
      <c r="A4" s="253" t="s">
        <v>335</v>
      </c>
      <c r="B4" s="254" t="s">
        <v>340</v>
      </c>
      <c r="C4" s="254" t="s">
        <v>341</v>
      </c>
      <c r="D4" s="253" t="s">
        <v>338</v>
      </c>
      <c r="E4" s="255">
        <v>70511.14</v>
      </c>
      <c r="F4" s="253" t="s">
        <v>339</v>
      </c>
    </row>
    <row r="5" spans="1:6" ht="16.5">
      <c r="A5" s="253" t="s">
        <v>335</v>
      </c>
      <c r="B5" s="254" t="s">
        <v>342</v>
      </c>
      <c r="C5" s="254" t="s">
        <v>337</v>
      </c>
      <c r="D5" s="253" t="s">
        <v>338</v>
      </c>
      <c r="E5" s="255">
        <v>117132.32</v>
      </c>
      <c r="F5" s="253" t="s">
        <v>339</v>
      </c>
    </row>
    <row r="6" spans="1:6" ht="16.5">
      <c r="A6" s="253" t="s">
        <v>335</v>
      </c>
      <c r="B6" s="254" t="s">
        <v>343</v>
      </c>
      <c r="C6" s="254" t="s">
        <v>337</v>
      </c>
      <c r="D6" s="253" t="s">
        <v>338</v>
      </c>
      <c r="E6" s="256">
        <v>245202.8</v>
      </c>
      <c r="F6" s="253" t="s">
        <v>339</v>
      </c>
    </row>
    <row r="7" spans="1:6" ht="16.5">
      <c r="A7" s="253" t="s">
        <v>335</v>
      </c>
      <c r="B7" s="254" t="s">
        <v>344</v>
      </c>
      <c r="C7" s="254" t="s">
        <v>337</v>
      </c>
      <c r="D7" s="253" t="s">
        <v>338</v>
      </c>
      <c r="E7" s="255">
        <v>120884.51</v>
      </c>
      <c r="F7" s="253" t="s">
        <v>339</v>
      </c>
    </row>
    <row r="8" spans="1:6" ht="16.5">
      <c r="A8" s="257" t="s">
        <v>335</v>
      </c>
      <c r="B8" s="258" t="s">
        <v>345</v>
      </c>
      <c r="C8" s="258" t="s">
        <v>341</v>
      </c>
      <c r="D8" s="257" t="s">
        <v>338</v>
      </c>
      <c r="E8" s="259">
        <v>392757.67</v>
      </c>
      <c r="F8" s="257" t="s">
        <v>346</v>
      </c>
    </row>
    <row r="9" spans="1:6" ht="16.5">
      <c r="A9" s="257" t="s">
        <v>335</v>
      </c>
      <c r="B9" s="258" t="s">
        <v>347</v>
      </c>
      <c r="C9" s="258" t="s">
        <v>341</v>
      </c>
      <c r="D9" s="257" t="s">
        <v>338</v>
      </c>
      <c r="E9" s="259">
        <v>206232.17</v>
      </c>
      <c r="F9" s="257" t="s">
        <v>339</v>
      </c>
    </row>
    <row r="10" spans="1:6" ht="25.5">
      <c r="A10" s="260" t="s">
        <v>335</v>
      </c>
      <c r="B10" s="261" t="s">
        <v>348</v>
      </c>
      <c r="C10" s="262" t="s">
        <v>349</v>
      </c>
      <c r="D10" s="260" t="s">
        <v>350</v>
      </c>
      <c r="E10" s="263">
        <v>97233.44</v>
      </c>
      <c r="F10" s="260" t="s">
        <v>351</v>
      </c>
    </row>
    <row r="11" spans="1:6" ht="25.5">
      <c r="A11" s="260" t="s">
        <v>335</v>
      </c>
      <c r="B11" s="261" t="s">
        <v>352</v>
      </c>
      <c r="C11" s="262" t="s">
        <v>349</v>
      </c>
      <c r="D11" s="260" t="s">
        <v>350</v>
      </c>
      <c r="E11" s="263">
        <v>113557.72</v>
      </c>
      <c r="F11" s="260" t="s">
        <v>353</v>
      </c>
    </row>
    <row r="12" spans="1:6" ht="25.5">
      <c r="A12" s="260" t="s">
        <v>335</v>
      </c>
      <c r="B12" s="261" t="s">
        <v>354</v>
      </c>
      <c r="C12" s="264" t="s">
        <v>355</v>
      </c>
      <c r="D12" s="260" t="s">
        <v>350</v>
      </c>
      <c r="E12" s="263">
        <v>55902.239999999998</v>
      </c>
      <c r="F12" s="260" t="s">
        <v>346</v>
      </c>
    </row>
    <row r="13" spans="1:6" ht="17.25">
      <c r="A13" s="260" t="s">
        <v>335</v>
      </c>
      <c r="B13" s="261" t="s">
        <v>356</v>
      </c>
      <c r="C13" s="264" t="s">
        <v>357</v>
      </c>
      <c r="D13" s="260" t="s">
        <v>350</v>
      </c>
      <c r="E13" s="263">
        <v>76361.759999999995</v>
      </c>
      <c r="F13" s="260" t="s">
        <v>353</v>
      </c>
    </row>
    <row r="14" spans="1:6" ht="16.5">
      <c r="A14" s="257" t="s">
        <v>335</v>
      </c>
      <c r="B14" s="258" t="s">
        <v>358</v>
      </c>
      <c r="C14" s="258" t="s">
        <v>359</v>
      </c>
      <c r="D14" s="260" t="s">
        <v>350</v>
      </c>
      <c r="E14" s="265">
        <v>104249.60000000001</v>
      </c>
      <c r="F14" s="257" t="s">
        <v>360</v>
      </c>
    </row>
    <row r="15" spans="1:6" ht="16.5">
      <c r="A15" s="257" t="s">
        <v>335</v>
      </c>
      <c r="B15" s="258" t="s">
        <v>361</v>
      </c>
      <c r="C15" s="258" t="s">
        <v>359</v>
      </c>
      <c r="D15" s="260" t="s">
        <v>350</v>
      </c>
      <c r="E15" s="259">
        <v>60207.839999999997</v>
      </c>
      <c r="F15" s="257" t="s">
        <v>346</v>
      </c>
    </row>
    <row r="16" spans="1:6" ht="16.5">
      <c r="A16" s="253" t="s">
        <v>335</v>
      </c>
      <c r="B16" s="254" t="s">
        <v>362</v>
      </c>
      <c r="C16" s="254" t="s">
        <v>363</v>
      </c>
      <c r="D16" s="260" t="s">
        <v>350</v>
      </c>
      <c r="E16" s="255">
        <v>44433.16</v>
      </c>
      <c r="F16" s="253" t="s">
        <v>346</v>
      </c>
    </row>
    <row r="17" spans="1:6" ht="17.25">
      <c r="A17" s="251" t="s">
        <v>364</v>
      </c>
      <c r="B17" s="258"/>
      <c r="C17" s="258"/>
      <c r="D17" s="260"/>
      <c r="E17" s="255">
        <v>1782026.65</v>
      </c>
      <c r="F17" s="258"/>
    </row>
  </sheetData>
  <mergeCells count="3">
    <mergeCell ref="B1:E1"/>
    <mergeCell ref="A1:A2"/>
    <mergeCell ref="F1:F2"/>
  </mergeCells>
  <phoneticPr fontId="92" type="noConversion"/>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E68"/>
  <sheetViews>
    <sheetView workbookViewId="0">
      <selection activeCell="A3" sqref="A3"/>
    </sheetView>
  </sheetViews>
  <sheetFormatPr defaultColWidth="8.875" defaultRowHeight="14.25"/>
  <cols>
    <col min="1" max="1" width="16.375" style="240" customWidth="1"/>
    <col min="2" max="2" width="22.5" style="240" customWidth="1"/>
    <col min="3" max="3" width="16.5" style="240" customWidth="1"/>
    <col min="4" max="4" width="19.5" style="240" customWidth="1"/>
    <col min="5" max="5" width="13.5" style="240" customWidth="1"/>
    <col min="6" max="16384" width="8.875" style="240"/>
  </cols>
  <sheetData>
    <row r="1" spans="1:5">
      <c r="A1" s="858" t="s">
        <v>2</v>
      </c>
      <c r="B1" s="854" t="s">
        <v>365</v>
      </c>
      <c r="C1" s="855"/>
      <c r="D1" s="856"/>
      <c r="E1" s="858" t="s">
        <v>366</v>
      </c>
    </row>
    <row r="2" spans="1:5" ht="28.5">
      <c r="A2" s="858"/>
      <c r="B2" s="129" t="s">
        <v>367</v>
      </c>
      <c r="C2" s="129" t="s">
        <v>368</v>
      </c>
      <c r="D2" s="129" t="s">
        <v>369</v>
      </c>
      <c r="E2" s="858"/>
    </row>
    <row r="3" spans="1:5" ht="28.5">
      <c r="A3" s="129" t="s">
        <v>3080</v>
      </c>
      <c r="B3" s="129" t="s">
        <v>371</v>
      </c>
      <c r="C3" s="129" t="s">
        <v>372</v>
      </c>
      <c r="D3" s="246">
        <v>5.5785</v>
      </c>
      <c r="E3" s="129"/>
    </row>
    <row r="4" spans="1:5" ht="28.5">
      <c r="A4" s="129" t="s">
        <v>370</v>
      </c>
      <c r="B4" s="129" t="s">
        <v>373</v>
      </c>
      <c r="C4" s="129" t="s">
        <v>372</v>
      </c>
      <c r="D4" s="246">
        <v>22.71715</v>
      </c>
      <c r="E4" s="129"/>
    </row>
    <row r="5" spans="1:5" ht="28.5">
      <c r="A5" s="129" t="s">
        <v>370</v>
      </c>
      <c r="B5" s="129" t="s">
        <v>374</v>
      </c>
      <c r="C5" s="129" t="s">
        <v>372</v>
      </c>
      <c r="D5" s="246">
        <v>5.2294999999999998</v>
      </c>
      <c r="E5" s="129"/>
    </row>
    <row r="6" spans="1:5" ht="28.5">
      <c r="A6" s="129" t="s">
        <v>370</v>
      </c>
      <c r="B6" s="129" t="s">
        <v>375</v>
      </c>
      <c r="C6" s="129" t="s">
        <v>372</v>
      </c>
      <c r="D6" s="246">
        <v>5.4973999999999998</v>
      </c>
      <c r="E6" s="129"/>
    </row>
    <row r="7" spans="1:5" ht="28.5">
      <c r="A7" s="129" t="s">
        <v>370</v>
      </c>
      <c r="B7" s="129" t="s">
        <v>376</v>
      </c>
      <c r="C7" s="129" t="s">
        <v>372</v>
      </c>
      <c r="D7" s="246">
        <v>4.5625</v>
      </c>
      <c r="E7" s="129"/>
    </row>
    <row r="8" spans="1:5" ht="28.5">
      <c r="A8" s="129" t="s">
        <v>370</v>
      </c>
      <c r="B8" s="129" t="s">
        <v>377</v>
      </c>
      <c r="C8" s="129" t="s">
        <v>372</v>
      </c>
      <c r="D8" s="246">
        <v>5.5359999999999996</v>
      </c>
      <c r="E8" s="129"/>
    </row>
    <row r="9" spans="1:5" ht="28.5">
      <c r="A9" s="129" t="s">
        <v>370</v>
      </c>
      <c r="B9" s="129" t="s">
        <v>378</v>
      </c>
      <c r="C9" s="129" t="s">
        <v>372</v>
      </c>
      <c r="D9" s="246">
        <v>4.4928999999999997</v>
      </c>
      <c r="E9" s="129"/>
    </row>
    <row r="10" spans="1:5" ht="28.5">
      <c r="A10" s="129" t="s">
        <v>370</v>
      </c>
      <c r="B10" s="129" t="s">
        <v>379</v>
      </c>
      <c r="C10" s="129" t="s">
        <v>372</v>
      </c>
      <c r="D10" s="246">
        <v>10.722899999999999</v>
      </c>
      <c r="E10" s="129"/>
    </row>
    <row r="11" spans="1:5" ht="28.5">
      <c r="A11" s="129" t="s">
        <v>370</v>
      </c>
      <c r="B11" s="129" t="s">
        <v>380</v>
      </c>
      <c r="C11" s="129" t="s">
        <v>372</v>
      </c>
      <c r="D11" s="246">
        <v>7.3666</v>
      </c>
      <c r="E11" s="129"/>
    </row>
    <row r="12" spans="1:5" ht="28.5">
      <c r="A12" s="129" t="s">
        <v>370</v>
      </c>
      <c r="B12" s="129" t="s">
        <v>381</v>
      </c>
      <c r="C12" s="129" t="s">
        <v>372</v>
      </c>
      <c r="D12" s="246">
        <v>14.751099999999999</v>
      </c>
      <c r="E12" s="129"/>
    </row>
    <row r="13" spans="1:5" ht="28.5">
      <c r="A13" s="129" t="s">
        <v>370</v>
      </c>
      <c r="B13" s="129" t="s">
        <v>382</v>
      </c>
      <c r="C13" s="129" t="s">
        <v>383</v>
      </c>
      <c r="D13" s="246">
        <v>3.5587</v>
      </c>
      <c r="E13" s="129"/>
    </row>
    <row r="14" spans="1:5" ht="28.5">
      <c r="A14" s="129" t="s">
        <v>370</v>
      </c>
      <c r="B14" s="129" t="s">
        <v>384</v>
      </c>
      <c r="C14" s="129" t="s">
        <v>383</v>
      </c>
      <c r="D14" s="246">
        <v>7.5114000000000001</v>
      </c>
      <c r="E14" s="129"/>
    </row>
    <row r="15" spans="1:5" ht="28.5">
      <c r="A15" s="129" t="s">
        <v>370</v>
      </c>
      <c r="B15" s="129" t="s">
        <v>385</v>
      </c>
      <c r="C15" s="129" t="s">
        <v>372</v>
      </c>
      <c r="D15" s="246">
        <v>4.8608000000000002</v>
      </c>
      <c r="E15" s="129"/>
    </row>
    <row r="16" spans="1:5" ht="28.5">
      <c r="A16" s="129" t="s">
        <v>370</v>
      </c>
      <c r="B16" s="129" t="s">
        <v>386</v>
      </c>
      <c r="C16" s="129" t="s">
        <v>387</v>
      </c>
      <c r="D16" s="246">
        <v>4.9547999999999996</v>
      </c>
      <c r="E16" s="129"/>
    </row>
    <row r="17" spans="1:5" ht="28.5">
      <c r="A17" s="129" t="s">
        <v>370</v>
      </c>
      <c r="B17" s="129" t="s">
        <v>388</v>
      </c>
      <c r="C17" s="129" t="s">
        <v>389</v>
      </c>
      <c r="D17" s="246">
        <v>5.1433</v>
      </c>
      <c r="E17" s="129"/>
    </row>
    <row r="18" spans="1:5" ht="28.5">
      <c r="A18" s="129" t="s">
        <v>370</v>
      </c>
      <c r="B18" s="129" t="s">
        <v>390</v>
      </c>
      <c r="C18" s="129" t="s">
        <v>391</v>
      </c>
      <c r="D18" s="246">
        <v>5.4368999999999996</v>
      </c>
      <c r="E18" s="129"/>
    </row>
    <row r="19" spans="1:5" ht="28.5">
      <c r="A19" s="129" t="s">
        <v>370</v>
      </c>
      <c r="B19" s="129" t="s">
        <v>392</v>
      </c>
      <c r="C19" s="129" t="s">
        <v>372</v>
      </c>
      <c r="D19" s="246">
        <v>4.431</v>
      </c>
      <c r="E19" s="129"/>
    </row>
    <row r="20" spans="1:5" ht="28.5">
      <c r="A20" s="129" t="s">
        <v>370</v>
      </c>
      <c r="B20" s="129" t="s">
        <v>393</v>
      </c>
      <c r="C20" s="129" t="s">
        <v>394</v>
      </c>
      <c r="D20" s="246">
        <v>3.3759999999999999</v>
      </c>
      <c r="E20" s="129"/>
    </row>
    <row r="21" spans="1:5" ht="28.5">
      <c r="A21" s="129" t="s">
        <v>370</v>
      </c>
      <c r="B21" s="130" t="s">
        <v>395</v>
      </c>
      <c r="C21" s="130" t="s">
        <v>396</v>
      </c>
      <c r="D21" s="247">
        <v>3.3033999999999999</v>
      </c>
      <c r="E21" s="242"/>
    </row>
    <row r="22" spans="1:5" ht="28.5">
      <c r="A22" s="129" t="s">
        <v>370</v>
      </c>
      <c r="B22" s="130" t="s">
        <v>397</v>
      </c>
      <c r="C22" s="130" t="s">
        <v>398</v>
      </c>
      <c r="D22" s="247">
        <v>3.9653999999999998</v>
      </c>
      <c r="E22" s="242"/>
    </row>
    <row r="23" spans="1:5" ht="28.5">
      <c r="A23" s="129" t="s">
        <v>370</v>
      </c>
      <c r="B23" s="130" t="s">
        <v>399</v>
      </c>
      <c r="C23" s="130" t="s">
        <v>372</v>
      </c>
      <c r="D23" s="247">
        <v>2.68879</v>
      </c>
      <c r="E23" s="242"/>
    </row>
    <row r="24" spans="1:5" ht="28.5">
      <c r="A24" s="129" t="s">
        <v>370</v>
      </c>
      <c r="B24" s="130" t="s">
        <v>400</v>
      </c>
      <c r="C24" s="130" t="s">
        <v>391</v>
      </c>
      <c r="D24" s="247">
        <v>4.825844</v>
      </c>
      <c r="E24" s="242"/>
    </row>
    <row r="25" spans="1:5" ht="28.5">
      <c r="A25" s="129" t="s">
        <v>370</v>
      </c>
      <c r="B25" s="130" t="s">
        <v>401</v>
      </c>
      <c r="C25" s="130" t="s">
        <v>372</v>
      </c>
      <c r="D25" s="247">
        <v>5.2135999999999996</v>
      </c>
      <c r="E25" s="242"/>
    </row>
    <row r="26" spans="1:5" ht="28.5">
      <c r="A26" s="129" t="s">
        <v>370</v>
      </c>
      <c r="B26" s="130" t="s">
        <v>402</v>
      </c>
      <c r="C26" s="130" t="s">
        <v>394</v>
      </c>
      <c r="D26" s="247">
        <v>4.2953999999999999</v>
      </c>
      <c r="E26" s="242"/>
    </row>
    <row r="27" spans="1:5" ht="28.5">
      <c r="A27" s="129" t="s">
        <v>370</v>
      </c>
      <c r="B27" s="130" t="s">
        <v>403</v>
      </c>
      <c r="C27" s="130" t="s">
        <v>372</v>
      </c>
      <c r="D27" s="247">
        <v>5.2051999999999996</v>
      </c>
      <c r="E27" s="242"/>
    </row>
    <row r="28" spans="1:5" ht="28.5">
      <c r="A28" s="129" t="s">
        <v>370</v>
      </c>
      <c r="B28" s="130" t="s">
        <v>404</v>
      </c>
      <c r="C28" s="130" t="s">
        <v>372</v>
      </c>
      <c r="D28" s="247">
        <v>8.8409999999999993</v>
      </c>
      <c r="E28" s="242"/>
    </row>
    <row r="29" spans="1:5" ht="28.5">
      <c r="A29" s="129" t="s">
        <v>370</v>
      </c>
      <c r="B29" s="130" t="s">
        <v>405</v>
      </c>
      <c r="C29" s="130" t="s">
        <v>406</v>
      </c>
      <c r="D29" s="247">
        <v>5.4320000000000004</v>
      </c>
      <c r="E29" s="242"/>
    </row>
    <row r="30" spans="1:5" ht="28.5">
      <c r="A30" s="129" t="s">
        <v>370</v>
      </c>
      <c r="B30" s="130" t="s">
        <v>407</v>
      </c>
      <c r="C30" s="130" t="s">
        <v>391</v>
      </c>
      <c r="D30" s="247">
        <v>4.9366779999999997</v>
      </c>
      <c r="E30" s="242"/>
    </row>
    <row r="31" spans="1:5" ht="28.5">
      <c r="A31" s="129" t="s">
        <v>370</v>
      </c>
      <c r="B31" s="130" t="s">
        <v>408</v>
      </c>
      <c r="C31" s="130" t="s">
        <v>391</v>
      </c>
      <c r="D31" s="247">
        <v>5.7389999999999999</v>
      </c>
      <c r="E31" s="242"/>
    </row>
    <row r="32" spans="1:5" ht="28.5">
      <c r="A32" s="129" t="s">
        <v>370</v>
      </c>
      <c r="B32" s="130" t="s">
        <v>409</v>
      </c>
      <c r="C32" s="130" t="s">
        <v>372</v>
      </c>
      <c r="D32" s="247">
        <v>5.242</v>
      </c>
      <c r="E32" s="242"/>
    </row>
    <row r="33" spans="1:5" ht="28.5">
      <c r="A33" s="129" t="s">
        <v>370</v>
      </c>
      <c r="B33" s="130" t="s">
        <v>410</v>
      </c>
      <c r="C33" s="130" t="s">
        <v>411</v>
      </c>
      <c r="D33" s="247">
        <v>4.968</v>
      </c>
      <c r="E33" s="242"/>
    </row>
    <row r="34" spans="1:5" ht="28.5">
      <c r="A34" s="129" t="s">
        <v>370</v>
      </c>
      <c r="B34" s="130" t="s">
        <v>412</v>
      </c>
      <c r="C34" s="130" t="s">
        <v>387</v>
      </c>
      <c r="D34" s="247">
        <v>4.9951999999999996</v>
      </c>
      <c r="E34" s="242"/>
    </row>
    <row r="35" spans="1:5" ht="28.5">
      <c r="A35" s="129" t="s">
        <v>370</v>
      </c>
      <c r="B35" s="130" t="s">
        <v>413</v>
      </c>
      <c r="C35" s="130" t="s">
        <v>414</v>
      </c>
      <c r="D35" s="247">
        <v>11.1227</v>
      </c>
      <c r="E35" s="242"/>
    </row>
    <row r="36" spans="1:5" ht="28.5">
      <c r="A36" s="129" t="s">
        <v>370</v>
      </c>
      <c r="B36" s="130" t="s">
        <v>415</v>
      </c>
      <c r="C36" s="130" t="s">
        <v>391</v>
      </c>
      <c r="D36" s="247">
        <v>5.2583000000000002</v>
      </c>
      <c r="E36" s="242"/>
    </row>
    <row r="37" spans="1:5" ht="28.5">
      <c r="A37" s="129" t="s">
        <v>370</v>
      </c>
      <c r="B37" s="130" t="s">
        <v>416</v>
      </c>
      <c r="C37" s="130" t="s">
        <v>372</v>
      </c>
      <c r="D37" s="247">
        <v>3.9123999999999999</v>
      </c>
      <c r="E37" s="242"/>
    </row>
    <row r="38" spans="1:5" ht="28.5">
      <c r="A38" s="129" t="s">
        <v>370</v>
      </c>
      <c r="B38" s="130" t="s">
        <v>417</v>
      </c>
      <c r="C38" s="130" t="s">
        <v>383</v>
      </c>
      <c r="D38" s="247">
        <v>13.045949999999999</v>
      </c>
      <c r="E38" s="242"/>
    </row>
    <row r="39" spans="1:5" ht="28.5">
      <c r="A39" s="129" t="s">
        <v>370</v>
      </c>
      <c r="B39" s="130" t="s">
        <v>418</v>
      </c>
      <c r="C39" s="130" t="s">
        <v>372</v>
      </c>
      <c r="D39" s="247">
        <v>10.343</v>
      </c>
      <c r="E39" s="242"/>
    </row>
    <row r="40" spans="1:5" ht="28.5">
      <c r="A40" s="129" t="s">
        <v>370</v>
      </c>
      <c r="B40" s="130" t="s">
        <v>419</v>
      </c>
      <c r="C40" s="130" t="s">
        <v>391</v>
      </c>
      <c r="D40" s="247">
        <v>7.3079599999999996</v>
      </c>
      <c r="E40" s="242"/>
    </row>
    <row r="41" spans="1:5" ht="28.5">
      <c r="A41" s="129" t="s">
        <v>370</v>
      </c>
      <c r="B41" s="130" t="s">
        <v>420</v>
      </c>
      <c r="C41" s="130" t="s">
        <v>383</v>
      </c>
      <c r="D41" s="247">
        <v>9.3501999999999992</v>
      </c>
      <c r="E41" s="242"/>
    </row>
    <row r="42" spans="1:5" ht="28.5">
      <c r="A42" s="129" t="s">
        <v>370</v>
      </c>
      <c r="B42" s="130" t="s">
        <v>421</v>
      </c>
      <c r="C42" s="130" t="s">
        <v>394</v>
      </c>
      <c r="D42" s="247">
        <v>6.8094999999999999</v>
      </c>
      <c r="E42" s="242"/>
    </row>
    <row r="43" spans="1:5" ht="28.5">
      <c r="A43" s="129" t="s">
        <v>370</v>
      </c>
      <c r="B43" s="130" t="s">
        <v>422</v>
      </c>
      <c r="C43" s="130" t="s">
        <v>423</v>
      </c>
      <c r="D43" s="247">
        <v>4.0795000000000003</v>
      </c>
      <c r="E43" s="242"/>
    </row>
    <row r="44" spans="1:5" ht="28.5">
      <c r="A44" s="129" t="s">
        <v>370</v>
      </c>
      <c r="B44" s="130" t="s">
        <v>424</v>
      </c>
      <c r="C44" s="248" t="s">
        <v>394</v>
      </c>
      <c r="D44" s="249">
        <v>4.6595000000000004</v>
      </c>
      <c r="E44" s="242"/>
    </row>
    <row r="45" spans="1:5" ht="28.5">
      <c r="A45" s="129" t="s">
        <v>370</v>
      </c>
      <c r="B45" s="130" t="s">
        <v>425</v>
      </c>
      <c r="C45" s="248" t="s">
        <v>391</v>
      </c>
      <c r="D45" s="249">
        <v>5.3941999999999997</v>
      </c>
      <c r="E45" s="242"/>
    </row>
    <row r="46" spans="1:5" ht="28.5">
      <c r="A46" s="129" t="s">
        <v>370</v>
      </c>
      <c r="B46" s="130" t="s">
        <v>426</v>
      </c>
      <c r="C46" s="248" t="s">
        <v>391</v>
      </c>
      <c r="D46" s="249">
        <v>3.5356000000000001</v>
      </c>
      <c r="E46" s="242"/>
    </row>
    <row r="47" spans="1:5" ht="28.5">
      <c r="A47" s="129" t="s">
        <v>370</v>
      </c>
      <c r="B47" s="130" t="s">
        <v>427</v>
      </c>
      <c r="C47" s="248" t="s">
        <v>391</v>
      </c>
      <c r="D47" s="249">
        <v>9.1385000000000005</v>
      </c>
      <c r="E47" s="242"/>
    </row>
    <row r="48" spans="1:5" ht="28.5">
      <c r="A48" s="129" t="s">
        <v>370</v>
      </c>
      <c r="B48" s="130" t="s">
        <v>428</v>
      </c>
      <c r="C48" s="248" t="s">
        <v>414</v>
      </c>
      <c r="D48" s="249">
        <v>4.7477999999999998</v>
      </c>
      <c r="E48" s="242"/>
    </row>
    <row r="49" spans="1:5" ht="28.5">
      <c r="A49" s="129" t="s">
        <v>370</v>
      </c>
      <c r="B49" s="130" t="s">
        <v>429</v>
      </c>
      <c r="C49" s="248" t="s">
        <v>383</v>
      </c>
      <c r="D49" s="249">
        <v>7.4741999999999997</v>
      </c>
      <c r="E49" s="242"/>
    </row>
    <row r="50" spans="1:5" ht="28.5">
      <c r="A50" s="129" t="s">
        <v>370</v>
      </c>
      <c r="B50" s="130" t="s">
        <v>430</v>
      </c>
      <c r="C50" s="248" t="s">
        <v>383</v>
      </c>
      <c r="D50" s="249">
        <v>7.4836</v>
      </c>
      <c r="E50" s="242"/>
    </row>
    <row r="51" spans="1:5" ht="28.5">
      <c r="A51" s="129" t="s">
        <v>370</v>
      </c>
      <c r="B51" s="130" t="s">
        <v>431</v>
      </c>
      <c r="C51" s="248" t="s">
        <v>372</v>
      </c>
      <c r="D51" s="249">
        <v>24.244399999999999</v>
      </c>
      <c r="E51" s="242"/>
    </row>
    <row r="52" spans="1:5" ht="28.5">
      <c r="A52" s="129" t="s">
        <v>370</v>
      </c>
      <c r="B52" s="130" t="s">
        <v>432</v>
      </c>
      <c r="C52" s="248" t="s">
        <v>372</v>
      </c>
      <c r="D52" s="249">
        <v>4.6395999999999997</v>
      </c>
      <c r="E52" s="242"/>
    </row>
    <row r="53" spans="1:5" ht="28.5">
      <c r="A53" s="129" t="s">
        <v>370</v>
      </c>
      <c r="B53" s="130" t="s">
        <v>433</v>
      </c>
      <c r="C53" s="248" t="s">
        <v>394</v>
      </c>
      <c r="D53" s="249">
        <v>3.5169999999999999</v>
      </c>
      <c r="E53" s="242"/>
    </row>
    <row r="54" spans="1:5" ht="28.5">
      <c r="A54" s="129" t="s">
        <v>370</v>
      </c>
      <c r="B54" s="130" t="s">
        <v>434</v>
      </c>
      <c r="C54" s="248" t="s">
        <v>423</v>
      </c>
      <c r="D54" s="249">
        <v>5.9543999999999997</v>
      </c>
      <c r="E54" s="242"/>
    </row>
    <row r="55" spans="1:5" ht="28.5">
      <c r="A55" s="129" t="s">
        <v>370</v>
      </c>
      <c r="B55" s="130" t="s">
        <v>435</v>
      </c>
      <c r="C55" s="248" t="s">
        <v>372</v>
      </c>
      <c r="D55" s="249">
        <v>5.0476999999999999</v>
      </c>
      <c r="E55" s="242"/>
    </row>
    <row r="56" spans="1:5" ht="28.5">
      <c r="A56" s="129" t="s">
        <v>370</v>
      </c>
      <c r="B56" s="130" t="s">
        <v>436</v>
      </c>
      <c r="C56" s="248" t="s">
        <v>387</v>
      </c>
      <c r="D56" s="249">
        <v>4.7539999999999996</v>
      </c>
      <c r="E56" s="242"/>
    </row>
    <row r="57" spans="1:5" ht="28.5">
      <c r="A57" s="129" t="s">
        <v>370</v>
      </c>
      <c r="B57" s="130" t="s">
        <v>437</v>
      </c>
      <c r="C57" s="248" t="s">
        <v>394</v>
      </c>
      <c r="D57" s="249">
        <v>7.4459</v>
      </c>
      <c r="E57" s="242"/>
    </row>
    <row r="58" spans="1:5" ht="28.5">
      <c r="A58" s="129" t="s">
        <v>370</v>
      </c>
      <c r="B58" s="130" t="s">
        <v>438</v>
      </c>
      <c r="C58" s="248" t="s">
        <v>414</v>
      </c>
      <c r="D58" s="249">
        <v>4.4771999999999998</v>
      </c>
      <c r="E58" s="242"/>
    </row>
    <row r="59" spans="1:5" ht="28.5">
      <c r="A59" s="129" t="s">
        <v>370</v>
      </c>
      <c r="B59" s="130" t="s">
        <v>439</v>
      </c>
      <c r="C59" s="248" t="s">
        <v>391</v>
      </c>
      <c r="D59" s="249">
        <v>5.1459000000000001</v>
      </c>
      <c r="E59" s="242"/>
    </row>
    <row r="60" spans="1:5" ht="28.5">
      <c r="A60" s="129" t="s">
        <v>370</v>
      </c>
      <c r="B60" s="130" t="s">
        <v>440</v>
      </c>
      <c r="C60" s="248" t="s">
        <v>441</v>
      </c>
      <c r="D60" s="249">
        <v>4.0431999999999997</v>
      </c>
      <c r="E60" s="242"/>
    </row>
    <row r="61" spans="1:5" ht="28.5">
      <c r="A61" s="129" t="s">
        <v>370</v>
      </c>
      <c r="B61" s="130" t="s">
        <v>442</v>
      </c>
      <c r="C61" s="248" t="s">
        <v>391</v>
      </c>
      <c r="D61" s="249">
        <v>3.8712</v>
      </c>
      <c r="E61" s="242"/>
    </row>
    <row r="62" spans="1:5" ht="28.5">
      <c r="A62" s="129" t="s">
        <v>370</v>
      </c>
      <c r="B62" s="130" t="s">
        <v>443</v>
      </c>
      <c r="C62" s="248" t="s">
        <v>387</v>
      </c>
      <c r="D62" s="249">
        <v>3.6135000000000002</v>
      </c>
      <c r="E62" s="242"/>
    </row>
    <row r="63" spans="1:5" ht="28.5">
      <c r="A63" s="129" t="s">
        <v>370</v>
      </c>
      <c r="B63" s="130" t="s">
        <v>444</v>
      </c>
      <c r="C63" s="248" t="s">
        <v>391</v>
      </c>
      <c r="D63" s="249">
        <v>4.3727900000000002</v>
      </c>
      <c r="E63" s="242"/>
    </row>
    <row r="64" spans="1:5" ht="28.5">
      <c r="A64" s="129" t="s">
        <v>370</v>
      </c>
      <c r="B64" s="130" t="s">
        <v>445</v>
      </c>
      <c r="C64" s="248" t="s">
        <v>372</v>
      </c>
      <c r="D64" s="249">
        <v>50.670684999999999</v>
      </c>
      <c r="E64" s="242"/>
    </row>
    <row r="65" spans="1:5" ht="28.5">
      <c r="A65" s="129" t="s">
        <v>370</v>
      </c>
      <c r="B65" s="130" t="s">
        <v>446</v>
      </c>
      <c r="C65" s="248" t="s">
        <v>394</v>
      </c>
      <c r="D65" s="249">
        <v>5.7451999999999996</v>
      </c>
      <c r="E65" s="242"/>
    </row>
    <row r="66" spans="1:5" ht="28.5">
      <c r="A66" s="129" t="s">
        <v>370</v>
      </c>
      <c r="B66" s="130" t="s">
        <v>447</v>
      </c>
      <c r="C66" s="248" t="s">
        <v>372</v>
      </c>
      <c r="D66" s="249">
        <v>4.0839999999999996</v>
      </c>
      <c r="E66" s="242"/>
    </row>
    <row r="67" spans="1:5" ht="28.5">
      <c r="A67" s="129" t="s">
        <v>370</v>
      </c>
      <c r="B67" s="242" t="s">
        <v>448</v>
      </c>
      <c r="C67" s="248" t="s">
        <v>372</v>
      </c>
      <c r="D67" s="249">
        <v>4.8979999999999997</v>
      </c>
      <c r="E67" s="242"/>
    </row>
    <row r="68" spans="1:5" ht="27" customHeight="1">
      <c r="A68" s="242" t="s">
        <v>182</v>
      </c>
      <c r="B68" s="857"/>
      <c r="C68" s="857"/>
      <c r="D68" s="244">
        <f>SUM(D3:D67)</f>
        <v>455.56654699999996</v>
      </c>
      <c r="E68" s="244">
        <f>D68*30%</f>
        <v>136.66996409999999</v>
      </c>
    </row>
  </sheetData>
  <mergeCells count="4">
    <mergeCell ref="B1:D1"/>
    <mergeCell ref="B68:C68"/>
    <mergeCell ref="A1:A2"/>
    <mergeCell ref="E1:E2"/>
  </mergeCells>
  <phoneticPr fontId="92" type="noConversion"/>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F122"/>
  <sheetViews>
    <sheetView topLeftCell="B1" workbookViewId="0">
      <selection activeCell="E122" sqref="E122"/>
    </sheetView>
  </sheetViews>
  <sheetFormatPr defaultColWidth="37.375" defaultRowHeight="14.25"/>
  <cols>
    <col min="1" max="1" width="37.375" style="239" customWidth="1"/>
    <col min="2" max="2" width="19.5" style="239" customWidth="1"/>
    <col min="3" max="3" width="32.625" style="239" customWidth="1"/>
    <col min="4" max="4" width="22" style="239" customWidth="1"/>
    <col min="5" max="5" width="25" style="239" customWidth="1"/>
    <col min="6" max="6" width="18.875" style="240" customWidth="1"/>
    <col min="7" max="7" width="37.375" style="239" customWidth="1"/>
    <col min="8" max="16384" width="37.375" style="239"/>
  </cols>
  <sheetData>
    <row r="1" spans="1:6" ht="30" customHeight="1">
      <c r="A1" s="862" t="s">
        <v>2</v>
      </c>
      <c r="B1" s="859" t="s">
        <v>365</v>
      </c>
      <c r="C1" s="860"/>
      <c r="D1" s="860"/>
      <c r="E1" s="861"/>
      <c r="F1" s="857" t="s">
        <v>449</v>
      </c>
    </row>
    <row r="2" spans="1:6" ht="35.1" customHeight="1">
      <c r="A2" s="862"/>
      <c r="B2" s="241" t="s">
        <v>190</v>
      </c>
      <c r="C2" s="241" t="s">
        <v>332</v>
      </c>
      <c r="D2" s="241"/>
      <c r="E2" s="241" t="s">
        <v>450</v>
      </c>
      <c r="F2" s="857"/>
    </row>
    <row r="3" spans="1:6">
      <c r="A3" s="130" t="s">
        <v>94</v>
      </c>
      <c r="B3" s="130" t="s">
        <v>451</v>
      </c>
      <c r="C3" s="130" t="s">
        <v>452</v>
      </c>
      <c r="D3" s="130" t="s">
        <v>453</v>
      </c>
      <c r="E3" s="243">
        <v>2.94</v>
      </c>
      <c r="F3" s="244">
        <f>E3/6*7.0795</f>
        <v>3.4689550000000002</v>
      </c>
    </row>
    <row r="4" spans="1:6">
      <c r="A4" s="130" t="s">
        <v>94</v>
      </c>
      <c r="B4" s="130" t="s">
        <v>454</v>
      </c>
      <c r="C4" s="130" t="s">
        <v>455</v>
      </c>
      <c r="D4" s="130" t="s">
        <v>456</v>
      </c>
      <c r="E4" s="243">
        <v>2.58</v>
      </c>
      <c r="F4" s="244">
        <f t="shared" ref="F4:F35" si="0">E4/6*7.0795</f>
        <v>3.0441850000000001</v>
      </c>
    </row>
    <row r="5" spans="1:6">
      <c r="A5" s="130" t="s">
        <v>94</v>
      </c>
      <c r="B5" s="130" t="s">
        <v>457</v>
      </c>
      <c r="C5" s="130" t="s">
        <v>458</v>
      </c>
      <c r="D5" s="130" t="s">
        <v>459</v>
      </c>
      <c r="E5" s="243">
        <v>10.02</v>
      </c>
      <c r="F5" s="244">
        <f t="shared" si="0"/>
        <v>11.822765</v>
      </c>
    </row>
    <row r="6" spans="1:6">
      <c r="A6" s="130" t="s">
        <v>94</v>
      </c>
      <c r="B6" s="130" t="s">
        <v>460</v>
      </c>
      <c r="C6" s="130" t="s">
        <v>461</v>
      </c>
      <c r="D6" s="130" t="s">
        <v>459</v>
      </c>
      <c r="E6" s="243">
        <v>6.18</v>
      </c>
      <c r="F6" s="244">
        <f t="shared" si="0"/>
        <v>7.2918850000000006</v>
      </c>
    </row>
    <row r="7" spans="1:6">
      <c r="A7" s="130" t="s">
        <v>94</v>
      </c>
      <c r="B7" s="130" t="s">
        <v>462</v>
      </c>
      <c r="C7" s="130" t="s">
        <v>458</v>
      </c>
      <c r="D7" s="130" t="s">
        <v>459</v>
      </c>
      <c r="E7" s="243">
        <v>2.2799999999999998</v>
      </c>
      <c r="F7" s="244">
        <f t="shared" si="0"/>
        <v>2.69021</v>
      </c>
    </row>
    <row r="8" spans="1:6">
      <c r="A8" s="130" t="s">
        <v>94</v>
      </c>
      <c r="B8" s="130" t="s">
        <v>463</v>
      </c>
      <c r="C8" s="130" t="s">
        <v>464</v>
      </c>
      <c r="D8" s="130" t="s">
        <v>387</v>
      </c>
      <c r="E8" s="243">
        <v>2.52</v>
      </c>
      <c r="F8" s="244">
        <f t="shared" si="0"/>
        <v>2.9733900000000002</v>
      </c>
    </row>
    <row r="9" spans="1:6">
      <c r="A9" s="130" t="s">
        <v>94</v>
      </c>
      <c r="B9" s="130" t="s">
        <v>465</v>
      </c>
      <c r="C9" s="130" t="s">
        <v>464</v>
      </c>
      <c r="D9" s="130" t="s">
        <v>387</v>
      </c>
      <c r="E9" s="245">
        <v>2.4</v>
      </c>
      <c r="F9" s="244">
        <f t="shared" si="0"/>
        <v>2.8317999999999999</v>
      </c>
    </row>
    <row r="10" spans="1:6">
      <c r="A10" s="130" t="s">
        <v>94</v>
      </c>
      <c r="B10" s="130" t="s">
        <v>466</v>
      </c>
      <c r="C10" s="130" t="s">
        <v>467</v>
      </c>
      <c r="D10" s="130" t="s">
        <v>459</v>
      </c>
      <c r="E10" s="243">
        <v>4.32</v>
      </c>
      <c r="F10" s="244">
        <f t="shared" si="0"/>
        <v>5.0972400000000011</v>
      </c>
    </row>
    <row r="11" spans="1:6">
      <c r="A11" s="130" t="s">
        <v>94</v>
      </c>
      <c r="B11" s="130" t="s">
        <v>468</v>
      </c>
      <c r="C11" s="130" t="s">
        <v>469</v>
      </c>
      <c r="D11" s="130" t="s">
        <v>470</v>
      </c>
      <c r="E11" s="243">
        <v>4.0199999999999996</v>
      </c>
      <c r="F11" s="244">
        <f t="shared" si="0"/>
        <v>4.7432650000000001</v>
      </c>
    </row>
    <row r="12" spans="1:6">
      <c r="A12" s="130" t="s">
        <v>94</v>
      </c>
      <c r="B12" s="130" t="s">
        <v>471</v>
      </c>
      <c r="C12" s="130" t="s">
        <v>472</v>
      </c>
      <c r="D12" s="130" t="s">
        <v>473</v>
      </c>
      <c r="E12" s="243">
        <v>6.36</v>
      </c>
      <c r="F12" s="244">
        <f t="shared" si="0"/>
        <v>7.5042700000000009</v>
      </c>
    </row>
    <row r="13" spans="1:6">
      <c r="A13" s="130" t="s">
        <v>94</v>
      </c>
      <c r="B13" s="130" t="s">
        <v>474</v>
      </c>
      <c r="C13" s="130" t="s">
        <v>475</v>
      </c>
      <c r="D13" s="130" t="s">
        <v>476</v>
      </c>
      <c r="E13" s="243">
        <v>4.08</v>
      </c>
      <c r="F13" s="244">
        <f t="shared" si="0"/>
        <v>4.8140600000000004</v>
      </c>
    </row>
    <row r="14" spans="1:6">
      <c r="A14" s="130" t="s">
        <v>94</v>
      </c>
      <c r="B14" s="130" t="s">
        <v>477</v>
      </c>
      <c r="C14" s="130" t="s">
        <v>472</v>
      </c>
      <c r="D14" s="130" t="s">
        <v>473</v>
      </c>
      <c r="E14" s="243">
        <v>3.72</v>
      </c>
      <c r="F14" s="244">
        <f t="shared" si="0"/>
        <v>4.3892899999999999</v>
      </c>
    </row>
    <row r="15" spans="1:6">
      <c r="A15" s="130" t="s">
        <v>94</v>
      </c>
      <c r="B15" s="130" t="s">
        <v>478</v>
      </c>
      <c r="C15" s="130" t="s">
        <v>475</v>
      </c>
      <c r="D15" s="130" t="s">
        <v>476</v>
      </c>
      <c r="E15" s="245">
        <v>9.6</v>
      </c>
      <c r="F15" s="244">
        <f t="shared" si="0"/>
        <v>11.327199999999999</v>
      </c>
    </row>
    <row r="16" spans="1:6">
      <c r="A16" s="130" t="s">
        <v>94</v>
      </c>
      <c r="B16" s="130" t="s">
        <v>479</v>
      </c>
      <c r="C16" s="130" t="s">
        <v>480</v>
      </c>
      <c r="D16" s="130" t="s">
        <v>459</v>
      </c>
      <c r="E16" s="243">
        <v>2.94</v>
      </c>
      <c r="F16" s="244">
        <f t="shared" si="0"/>
        <v>3.4689550000000002</v>
      </c>
    </row>
    <row r="17" spans="1:6">
      <c r="A17" s="130" t="s">
        <v>94</v>
      </c>
      <c r="B17" s="130" t="s">
        <v>481</v>
      </c>
      <c r="C17" s="130" t="s">
        <v>482</v>
      </c>
      <c r="D17" s="130" t="s">
        <v>383</v>
      </c>
      <c r="E17" s="243">
        <v>3.24</v>
      </c>
      <c r="F17" s="244">
        <f t="shared" si="0"/>
        <v>3.8229300000000004</v>
      </c>
    </row>
    <row r="18" spans="1:6">
      <c r="A18" s="130" t="s">
        <v>94</v>
      </c>
      <c r="B18" s="130" t="s">
        <v>457</v>
      </c>
      <c r="C18" s="130" t="s">
        <v>483</v>
      </c>
      <c r="D18" s="130" t="s">
        <v>459</v>
      </c>
      <c r="E18" s="243">
        <v>15.24</v>
      </c>
      <c r="F18" s="244">
        <f t="shared" si="0"/>
        <v>17.981930000000002</v>
      </c>
    </row>
    <row r="19" spans="1:6">
      <c r="A19" s="130" t="s">
        <v>94</v>
      </c>
      <c r="B19" s="130" t="s">
        <v>484</v>
      </c>
      <c r="C19" s="130" t="s">
        <v>461</v>
      </c>
      <c r="D19" s="130" t="s">
        <v>459</v>
      </c>
      <c r="E19" s="243">
        <v>4.68</v>
      </c>
      <c r="F19" s="244">
        <f t="shared" si="0"/>
        <v>5.5220099999999999</v>
      </c>
    </row>
    <row r="20" spans="1:6">
      <c r="A20" s="130" t="s">
        <v>94</v>
      </c>
      <c r="B20" s="130" t="s">
        <v>485</v>
      </c>
      <c r="C20" s="130" t="s">
        <v>486</v>
      </c>
      <c r="D20" s="130" t="s">
        <v>487</v>
      </c>
      <c r="E20" s="243">
        <v>2.46</v>
      </c>
      <c r="F20" s="244">
        <f t="shared" si="0"/>
        <v>2.9025949999999998</v>
      </c>
    </row>
    <row r="21" spans="1:6" ht="15.95" customHeight="1">
      <c r="A21" s="130" t="s">
        <v>94</v>
      </c>
      <c r="B21" s="130" t="s">
        <v>488</v>
      </c>
      <c r="C21" s="130" t="s">
        <v>489</v>
      </c>
      <c r="D21" s="130" t="s">
        <v>490</v>
      </c>
      <c r="E21" s="243">
        <v>4.4400000000000004</v>
      </c>
      <c r="F21" s="244">
        <f t="shared" si="0"/>
        <v>5.238830000000001</v>
      </c>
    </row>
    <row r="22" spans="1:6">
      <c r="A22" s="130" t="s">
        <v>94</v>
      </c>
      <c r="B22" s="130" t="s">
        <v>491</v>
      </c>
      <c r="C22" s="130" t="s">
        <v>492</v>
      </c>
      <c r="D22" s="130" t="s">
        <v>473</v>
      </c>
      <c r="E22" s="243">
        <v>3.72</v>
      </c>
      <c r="F22" s="244">
        <f t="shared" si="0"/>
        <v>4.3892899999999999</v>
      </c>
    </row>
    <row r="23" spans="1:6">
      <c r="A23" s="130" t="s">
        <v>94</v>
      </c>
      <c r="B23" s="130" t="s">
        <v>493</v>
      </c>
      <c r="C23" s="130" t="s">
        <v>494</v>
      </c>
      <c r="D23" s="130" t="s">
        <v>495</v>
      </c>
      <c r="E23" s="243">
        <v>2.76</v>
      </c>
      <c r="F23" s="244">
        <f t="shared" si="0"/>
        <v>3.25657</v>
      </c>
    </row>
    <row r="24" spans="1:6">
      <c r="A24" s="130" t="s">
        <v>94</v>
      </c>
      <c r="B24" s="130" t="s">
        <v>496</v>
      </c>
      <c r="C24" s="130" t="s">
        <v>497</v>
      </c>
      <c r="D24" s="130" t="s">
        <v>498</v>
      </c>
      <c r="E24" s="243">
        <v>2.34</v>
      </c>
      <c r="F24" s="244">
        <f t="shared" si="0"/>
        <v>2.7610049999999999</v>
      </c>
    </row>
    <row r="25" spans="1:6">
      <c r="A25" s="130" t="s">
        <v>94</v>
      </c>
      <c r="B25" s="242" t="s">
        <v>499</v>
      </c>
      <c r="C25" s="242" t="s">
        <v>500</v>
      </c>
      <c r="D25" s="242" t="s">
        <v>441</v>
      </c>
      <c r="E25" s="242">
        <v>2.46</v>
      </c>
      <c r="F25" s="244">
        <f t="shared" si="0"/>
        <v>2.9025949999999998</v>
      </c>
    </row>
    <row r="26" spans="1:6">
      <c r="A26" s="130" t="s">
        <v>94</v>
      </c>
      <c r="B26" s="242" t="s">
        <v>501</v>
      </c>
      <c r="C26" s="242" t="s">
        <v>502</v>
      </c>
      <c r="D26" s="242" t="s">
        <v>503</v>
      </c>
      <c r="E26" s="242">
        <v>3.48</v>
      </c>
      <c r="F26" s="244">
        <f t="shared" si="0"/>
        <v>4.1061100000000001</v>
      </c>
    </row>
    <row r="27" spans="1:6">
      <c r="A27" s="130" t="s">
        <v>94</v>
      </c>
      <c r="B27" s="242" t="s">
        <v>481</v>
      </c>
      <c r="C27" s="242" t="s">
        <v>482</v>
      </c>
      <c r="D27" s="242" t="s">
        <v>383</v>
      </c>
      <c r="E27" s="242">
        <v>2.04</v>
      </c>
      <c r="F27" s="244">
        <f t="shared" si="0"/>
        <v>2.4070300000000002</v>
      </c>
    </row>
    <row r="28" spans="1:6">
      <c r="A28" s="130" t="s">
        <v>94</v>
      </c>
      <c r="B28" s="242" t="s">
        <v>504</v>
      </c>
      <c r="C28" s="242" t="s">
        <v>505</v>
      </c>
      <c r="D28" s="242" t="s">
        <v>490</v>
      </c>
      <c r="E28" s="242">
        <v>4.26</v>
      </c>
      <c r="F28" s="244">
        <f t="shared" si="0"/>
        <v>5.0264449999999998</v>
      </c>
    </row>
    <row r="29" spans="1:6">
      <c r="A29" s="130" t="s">
        <v>94</v>
      </c>
      <c r="B29" s="242" t="s">
        <v>506</v>
      </c>
      <c r="C29" s="242" t="s">
        <v>452</v>
      </c>
      <c r="D29" s="242" t="s">
        <v>507</v>
      </c>
      <c r="E29" s="242">
        <v>9.18</v>
      </c>
      <c r="F29" s="244">
        <f t="shared" si="0"/>
        <v>10.831635</v>
      </c>
    </row>
    <row r="30" spans="1:6">
      <c r="A30" s="130" t="s">
        <v>94</v>
      </c>
      <c r="B30" s="242" t="s">
        <v>508</v>
      </c>
      <c r="C30" s="242" t="s">
        <v>509</v>
      </c>
      <c r="D30" s="242" t="s">
        <v>459</v>
      </c>
      <c r="E30" s="242">
        <v>5.58</v>
      </c>
      <c r="F30" s="244">
        <f t="shared" si="0"/>
        <v>6.5839350000000003</v>
      </c>
    </row>
    <row r="31" spans="1:6">
      <c r="A31" s="130" t="s">
        <v>94</v>
      </c>
      <c r="B31" s="242" t="s">
        <v>510</v>
      </c>
      <c r="C31" s="242" t="s">
        <v>461</v>
      </c>
      <c r="D31" s="242" t="s">
        <v>459</v>
      </c>
      <c r="E31" s="242">
        <v>2.52</v>
      </c>
      <c r="F31" s="244">
        <f t="shared" si="0"/>
        <v>2.9733900000000002</v>
      </c>
    </row>
    <row r="32" spans="1:6">
      <c r="A32" s="130" t="s">
        <v>94</v>
      </c>
      <c r="B32" s="242" t="s">
        <v>511</v>
      </c>
      <c r="C32" s="242" t="s">
        <v>512</v>
      </c>
      <c r="D32" s="242" t="s">
        <v>513</v>
      </c>
      <c r="E32" s="242">
        <v>3.6</v>
      </c>
      <c r="F32" s="244">
        <f t="shared" si="0"/>
        <v>4.2477</v>
      </c>
    </row>
    <row r="33" spans="1:6">
      <c r="A33" s="130" t="s">
        <v>94</v>
      </c>
      <c r="B33" s="242" t="s">
        <v>514</v>
      </c>
      <c r="C33" s="242" t="s">
        <v>489</v>
      </c>
      <c r="D33" s="242" t="s">
        <v>490</v>
      </c>
      <c r="E33" s="242">
        <v>3.78</v>
      </c>
      <c r="F33" s="244">
        <f t="shared" si="0"/>
        <v>4.4600850000000003</v>
      </c>
    </row>
    <row r="34" spans="1:6">
      <c r="A34" s="130" t="s">
        <v>94</v>
      </c>
      <c r="B34" s="242" t="s">
        <v>515</v>
      </c>
      <c r="C34" s="242" t="s">
        <v>469</v>
      </c>
      <c r="D34" s="242" t="s">
        <v>470</v>
      </c>
      <c r="E34" s="242">
        <v>2.04</v>
      </c>
      <c r="F34" s="244">
        <f t="shared" si="0"/>
        <v>2.4070300000000002</v>
      </c>
    </row>
    <row r="35" spans="1:6">
      <c r="A35" s="130" t="s">
        <v>94</v>
      </c>
      <c r="B35" s="242" t="s">
        <v>516</v>
      </c>
      <c r="C35" s="242" t="s">
        <v>472</v>
      </c>
      <c r="D35" s="242" t="s">
        <v>473</v>
      </c>
      <c r="E35" s="242">
        <v>9.1199999999999992</v>
      </c>
      <c r="F35" s="244">
        <f t="shared" si="0"/>
        <v>10.76084</v>
      </c>
    </row>
    <row r="36" spans="1:6">
      <c r="A36" s="130" t="s">
        <v>94</v>
      </c>
      <c r="B36" s="242" t="s">
        <v>517</v>
      </c>
      <c r="C36" s="242" t="s">
        <v>475</v>
      </c>
      <c r="D36" s="242" t="s">
        <v>476</v>
      </c>
      <c r="E36" s="242">
        <v>4.1399999999999997</v>
      </c>
      <c r="F36" s="244">
        <f t="shared" ref="F36:F67" si="1">E36/6*7.0795</f>
        <v>4.8848549999999999</v>
      </c>
    </row>
    <row r="37" spans="1:6">
      <c r="A37" s="130" t="s">
        <v>94</v>
      </c>
      <c r="B37" s="242" t="s">
        <v>518</v>
      </c>
      <c r="C37" s="242" t="s">
        <v>472</v>
      </c>
      <c r="D37" s="242" t="s">
        <v>473</v>
      </c>
      <c r="E37" s="242">
        <v>5.22</v>
      </c>
      <c r="F37" s="244">
        <f t="shared" si="1"/>
        <v>6.1591650000000007</v>
      </c>
    </row>
    <row r="38" spans="1:6">
      <c r="A38" s="130" t="s">
        <v>94</v>
      </c>
      <c r="B38" s="242" t="s">
        <v>519</v>
      </c>
      <c r="C38" s="242" t="s">
        <v>520</v>
      </c>
      <c r="D38" s="242" t="s">
        <v>521</v>
      </c>
      <c r="E38" s="242">
        <v>12.72</v>
      </c>
      <c r="F38" s="244">
        <f t="shared" si="1"/>
        <v>15.008540000000002</v>
      </c>
    </row>
    <row r="39" spans="1:6">
      <c r="A39" s="130" t="s">
        <v>94</v>
      </c>
      <c r="B39" s="242" t="s">
        <v>522</v>
      </c>
      <c r="C39" s="242" t="s">
        <v>523</v>
      </c>
      <c r="D39" s="242" t="s">
        <v>524</v>
      </c>
      <c r="E39" s="242">
        <v>7.86</v>
      </c>
      <c r="F39" s="244">
        <f t="shared" si="1"/>
        <v>9.2741450000000007</v>
      </c>
    </row>
    <row r="40" spans="1:6">
      <c r="A40" s="130" t="s">
        <v>94</v>
      </c>
      <c r="B40" s="242" t="s">
        <v>525</v>
      </c>
      <c r="C40" s="242" t="s">
        <v>526</v>
      </c>
      <c r="D40" s="242" t="s">
        <v>527</v>
      </c>
      <c r="E40" s="242">
        <v>2.46</v>
      </c>
      <c r="F40" s="244">
        <f t="shared" si="1"/>
        <v>2.9025949999999998</v>
      </c>
    </row>
    <row r="41" spans="1:6">
      <c r="A41" s="130" t="s">
        <v>94</v>
      </c>
      <c r="B41" s="242" t="s">
        <v>528</v>
      </c>
      <c r="C41" s="242" t="s">
        <v>529</v>
      </c>
      <c r="D41" s="242" t="s">
        <v>394</v>
      </c>
      <c r="E41" s="242">
        <v>3.24</v>
      </c>
      <c r="F41" s="244">
        <f t="shared" si="1"/>
        <v>3.8229300000000004</v>
      </c>
    </row>
    <row r="42" spans="1:6">
      <c r="A42" s="130" t="s">
        <v>94</v>
      </c>
      <c r="B42" s="242" t="s">
        <v>530</v>
      </c>
      <c r="C42" s="242" t="s">
        <v>531</v>
      </c>
      <c r="D42" s="242" t="s">
        <v>453</v>
      </c>
      <c r="E42" s="242">
        <v>2.34</v>
      </c>
      <c r="F42" s="244">
        <f t="shared" si="1"/>
        <v>2.7610049999999999</v>
      </c>
    </row>
    <row r="43" spans="1:6">
      <c r="A43" s="130" t="s">
        <v>94</v>
      </c>
      <c r="B43" s="242" t="s">
        <v>532</v>
      </c>
      <c r="C43" s="242" t="s">
        <v>533</v>
      </c>
      <c r="D43" s="242" t="s">
        <v>391</v>
      </c>
      <c r="E43" s="242">
        <v>2.2200000000000002</v>
      </c>
      <c r="F43" s="244">
        <f t="shared" si="1"/>
        <v>2.6194150000000005</v>
      </c>
    </row>
    <row r="44" spans="1:6">
      <c r="A44" s="130" t="s">
        <v>94</v>
      </c>
      <c r="B44" s="242" t="s">
        <v>534</v>
      </c>
      <c r="C44" s="242" t="s">
        <v>535</v>
      </c>
      <c r="D44" s="242" t="s">
        <v>476</v>
      </c>
      <c r="E44" s="242">
        <v>2.7</v>
      </c>
      <c r="F44" s="244">
        <f t="shared" si="1"/>
        <v>3.185775</v>
      </c>
    </row>
    <row r="45" spans="1:6">
      <c r="A45" s="130" t="s">
        <v>94</v>
      </c>
      <c r="B45" s="242" t="s">
        <v>536</v>
      </c>
      <c r="C45" s="242" t="s">
        <v>537</v>
      </c>
      <c r="D45" s="242" t="s">
        <v>387</v>
      </c>
      <c r="E45" s="242">
        <v>2.4</v>
      </c>
      <c r="F45" s="244">
        <f t="shared" si="1"/>
        <v>2.8317999999999999</v>
      </c>
    </row>
    <row r="46" spans="1:6">
      <c r="A46" s="130" t="s">
        <v>94</v>
      </c>
      <c r="B46" s="242" t="s">
        <v>538</v>
      </c>
      <c r="C46" s="242" t="s">
        <v>539</v>
      </c>
      <c r="D46" s="242" t="s">
        <v>540</v>
      </c>
      <c r="E46" s="242">
        <v>4.38</v>
      </c>
      <c r="F46" s="244">
        <f t="shared" si="1"/>
        <v>5.1680349999999997</v>
      </c>
    </row>
    <row r="47" spans="1:6">
      <c r="A47" s="130" t="s">
        <v>94</v>
      </c>
      <c r="B47" s="242" t="s">
        <v>541</v>
      </c>
      <c r="C47" s="242" t="s">
        <v>542</v>
      </c>
      <c r="D47" s="242" t="s">
        <v>513</v>
      </c>
      <c r="E47" s="242">
        <v>5.7</v>
      </c>
      <c r="F47" s="244">
        <f t="shared" si="1"/>
        <v>6.7255250000000011</v>
      </c>
    </row>
    <row r="48" spans="1:6">
      <c r="A48" s="130" t="s">
        <v>94</v>
      </c>
      <c r="B48" s="242" t="s">
        <v>543</v>
      </c>
      <c r="C48" s="242" t="s">
        <v>461</v>
      </c>
      <c r="D48" s="242" t="s">
        <v>459</v>
      </c>
      <c r="E48" s="242">
        <v>5.16</v>
      </c>
      <c r="F48" s="244">
        <f t="shared" si="1"/>
        <v>6.0883700000000003</v>
      </c>
    </row>
    <row r="49" spans="1:6">
      <c r="A49" s="130" t="s">
        <v>94</v>
      </c>
      <c r="B49" s="242" t="s">
        <v>544</v>
      </c>
      <c r="C49" s="242" t="s">
        <v>483</v>
      </c>
      <c r="D49" s="242" t="s">
        <v>459</v>
      </c>
      <c r="E49" s="242">
        <v>5.34</v>
      </c>
      <c r="F49" s="244">
        <f t="shared" si="1"/>
        <v>6.3007550000000005</v>
      </c>
    </row>
    <row r="50" spans="1:6">
      <c r="A50" s="130" t="s">
        <v>94</v>
      </c>
      <c r="B50" s="242" t="s">
        <v>545</v>
      </c>
      <c r="C50" s="242" t="s">
        <v>520</v>
      </c>
      <c r="D50" s="242" t="s">
        <v>521</v>
      </c>
      <c r="E50" s="242">
        <v>7.98</v>
      </c>
      <c r="F50" s="244">
        <f t="shared" si="1"/>
        <v>9.4157350000000015</v>
      </c>
    </row>
    <row r="51" spans="1:6">
      <c r="A51" s="130" t="s">
        <v>94</v>
      </c>
      <c r="B51" s="242" t="s">
        <v>546</v>
      </c>
      <c r="C51" s="242" t="s">
        <v>526</v>
      </c>
      <c r="D51" s="242" t="s">
        <v>527</v>
      </c>
      <c r="E51" s="242">
        <v>2.58</v>
      </c>
      <c r="F51" s="244">
        <f t="shared" si="1"/>
        <v>3.0441850000000001</v>
      </c>
    </row>
    <row r="52" spans="1:6">
      <c r="A52" s="130" t="s">
        <v>94</v>
      </c>
      <c r="B52" s="242" t="s">
        <v>528</v>
      </c>
      <c r="C52" s="242" t="s">
        <v>529</v>
      </c>
      <c r="D52" s="242" t="s">
        <v>394</v>
      </c>
      <c r="E52" s="242">
        <v>1.86</v>
      </c>
      <c r="F52" s="244">
        <f t="shared" si="1"/>
        <v>2.194645</v>
      </c>
    </row>
    <row r="53" spans="1:6">
      <c r="A53" s="130" t="s">
        <v>94</v>
      </c>
      <c r="B53" s="242" t="s">
        <v>547</v>
      </c>
      <c r="C53" s="242" t="s">
        <v>548</v>
      </c>
      <c r="D53" s="242" t="s">
        <v>372</v>
      </c>
      <c r="E53" s="242">
        <v>5.16</v>
      </c>
      <c r="F53" s="244">
        <f t="shared" si="1"/>
        <v>6.0883700000000003</v>
      </c>
    </row>
    <row r="54" spans="1:6">
      <c r="A54" s="130" t="s">
        <v>94</v>
      </c>
      <c r="B54" s="242" t="s">
        <v>549</v>
      </c>
      <c r="C54" s="242" t="s">
        <v>531</v>
      </c>
      <c r="D54" s="242" t="s">
        <v>453</v>
      </c>
      <c r="E54" s="242">
        <v>4.4400000000000004</v>
      </c>
      <c r="F54" s="244">
        <f t="shared" si="1"/>
        <v>5.238830000000001</v>
      </c>
    </row>
    <row r="55" spans="1:6">
      <c r="A55" s="130" t="s">
        <v>94</v>
      </c>
      <c r="B55" s="242" t="s">
        <v>550</v>
      </c>
      <c r="C55" s="242" t="s">
        <v>483</v>
      </c>
      <c r="D55" s="242" t="s">
        <v>459</v>
      </c>
      <c r="E55" s="242">
        <v>3.3</v>
      </c>
      <c r="F55" s="244">
        <f t="shared" si="1"/>
        <v>3.8937249999999999</v>
      </c>
    </row>
    <row r="56" spans="1:6">
      <c r="A56" s="130" t="s">
        <v>94</v>
      </c>
      <c r="B56" s="242" t="s">
        <v>551</v>
      </c>
      <c r="C56" s="242" t="s">
        <v>552</v>
      </c>
      <c r="D56" s="242" t="s">
        <v>456</v>
      </c>
      <c r="E56" s="242">
        <v>5.64</v>
      </c>
      <c r="F56" s="244">
        <f t="shared" si="1"/>
        <v>6.6547299999999998</v>
      </c>
    </row>
    <row r="57" spans="1:6">
      <c r="A57" s="130" t="s">
        <v>94</v>
      </c>
      <c r="B57" s="242" t="s">
        <v>553</v>
      </c>
      <c r="C57" s="242" t="s">
        <v>483</v>
      </c>
      <c r="D57" s="242" t="s">
        <v>459</v>
      </c>
      <c r="E57" s="242">
        <v>1.86</v>
      </c>
      <c r="F57" s="244">
        <f t="shared" si="1"/>
        <v>2.194645</v>
      </c>
    </row>
    <row r="58" spans="1:6">
      <c r="A58" s="130" t="s">
        <v>94</v>
      </c>
      <c r="B58" s="242" t="s">
        <v>554</v>
      </c>
      <c r="C58" s="242" t="s">
        <v>461</v>
      </c>
      <c r="D58" s="242" t="s">
        <v>459</v>
      </c>
      <c r="E58" s="242">
        <v>8.4</v>
      </c>
      <c r="F58" s="244">
        <f t="shared" si="1"/>
        <v>9.9113000000000007</v>
      </c>
    </row>
    <row r="59" spans="1:6">
      <c r="A59" s="130" t="s">
        <v>94</v>
      </c>
      <c r="B59" s="242" t="s">
        <v>555</v>
      </c>
      <c r="C59" s="242" t="s">
        <v>520</v>
      </c>
      <c r="D59" s="242" t="s">
        <v>521</v>
      </c>
      <c r="E59" s="242">
        <v>2.2799999999999998</v>
      </c>
      <c r="F59" s="244">
        <f t="shared" si="1"/>
        <v>2.69021</v>
      </c>
    </row>
    <row r="60" spans="1:6">
      <c r="A60" s="130" t="s">
        <v>94</v>
      </c>
      <c r="B60" s="242" t="s">
        <v>556</v>
      </c>
      <c r="C60" s="242" t="s">
        <v>452</v>
      </c>
      <c r="D60" s="242" t="s">
        <v>453</v>
      </c>
      <c r="E60" s="242">
        <v>13.8</v>
      </c>
      <c r="F60" s="244">
        <f t="shared" si="1"/>
        <v>16.282850000000003</v>
      </c>
    </row>
    <row r="61" spans="1:6">
      <c r="A61" s="130" t="s">
        <v>94</v>
      </c>
      <c r="B61" s="242" t="s">
        <v>557</v>
      </c>
      <c r="C61" s="242" t="s">
        <v>558</v>
      </c>
      <c r="D61" s="242" t="s">
        <v>372</v>
      </c>
      <c r="E61" s="242">
        <v>2.2799999999999998</v>
      </c>
      <c r="F61" s="244">
        <f t="shared" si="1"/>
        <v>2.69021</v>
      </c>
    </row>
    <row r="62" spans="1:6">
      <c r="A62" s="130" t="s">
        <v>94</v>
      </c>
      <c r="B62" s="242" t="s">
        <v>559</v>
      </c>
      <c r="C62" s="242" t="s">
        <v>560</v>
      </c>
      <c r="D62" s="242" t="s">
        <v>561</v>
      </c>
      <c r="E62" s="242">
        <v>2.16</v>
      </c>
      <c r="F62" s="244">
        <f t="shared" si="1"/>
        <v>2.5486200000000006</v>
      </c>
    </row>
    <row r="63" spans="1:6">
      <c r="A63" s="130" t="s">
        <v>94</v>
      </c>
      <c r="B63" s="242" t="s">
        <v>468</v>
      </c>
      <c r="C63" s="242" t="s">
        <v>562</v>
      </c>
      <c r="D63" s="242" t="s">
        <v>561</v>
      </c>
      <c r="E63" s="242">
        <v>1.86</v>
      </c>
      <c r="F63" s="244">
        <f t="shared" si="1"/>
        <v>2.194645</v>
      </c>
    </row>
    <row r="64" spans="1:6">
      <c r="A64" s="130" t="s">
        <v>94</v>
      </c>
      <c r="B64" s="242" t="s">
        <v>563</v>
      </c>
      <c r="C64" s="242" t="s">
        <v>482</v>
      </c>
      <c r="D64" s="242" t="s">
        <v>383</v>
      </c>
      <c r="E64" s="242">
        <v>9.42</v>
      </c>
      <c r="F64" s="244">
        <f t="shared" si="1"/>
        <v>11.114815</v>
      </c>
    </row>
    <row r="65" spans="1:6">
      <c r="A65" s="130" t="s">
        <v>94</v>
      </c>
      <c r="B65" s="242" t="s">
        <v>564</v>
      </c>
      <c r="C65" s="242" t="s">
        <v>565</v>
      </c>
      <c r="D65" s="242" t="s">
        <v>490</v>
      </c>
      <c r="E65" s="242">
        <v>3.3</v>
      </c>
      <c r="F65" s="244">
        <f t="shared" si="1"/>
        <v>3.8937249999999999</v>
      </c>
    </row>
    <row r="66" spans="1:6">
      <c r="A66" s="130" t="s">
        <v>94</v>
      </c>
      <c r="B66" s="242" t="s">
        <v>566</v>
      </c>
      <c r="C66" s="242" t="s">
        <v>483</v>
      </c>
      <c r="D66" s="242" t="s">
        <v>459</v>
      </c>
      <c r="E66" s="242">
        <v>4.4400000000000004</v>
      </c>
      <c r="F66" s="244">
        <f t="shared" si="1"/>
        <v>5.238830000000001</v>
      </c>
    </row>
    <row r="67" spans="1:6">
      <c r="A67" s="130" t="s">
        <v>94</v>
      </c>
      <c r="B67" s="242" t="s">
        <v>567</v>
      </c>
      <c r="C67" s="242" t="s">
        <v>461</v>
      </c>
      <c r="D67" s="242" t="s">
        <v>459</v>
      </c>
      <c r="E67" s="242">
        <v>2.82</v>
      </c>
      <c r="F67" s="244">
        <f t="shared" si="1"/>
        <v>3.3273649999999999</v>
      </c>
    </row>
    <row r="68" spans="1:6">
      <c r="A68" s="130" t="s">
        <v>94</v>
      </c>
      <c r="B68" s="242" t="s">
        <v>568</v>
      </c>
      <c r="C68" s="242" t="s">
        <v>464</v>
      </c>
      <c r="D68" s="242" t="s">
        <v>387</v>
      </c>
      <c r="E68" s="242">
        <v>3.66</v>
      </c>
      <c r="F68" s="244">
        <f t="shared" ref="F68:F99" si="2">E68/6*7.0795</f>
        <v>4.3184950000000004</v>
      </c>
    </row>
    <row r="69" spans="1:6">
      <c r="A69" s="130" t="s">
        <v>94</v>
      </c>
      <c r="B69" s="242" t="s">
        <v>569</v>
      </c>
      <c r="C69" s="242" t="s">
        <v>560</v>
      </c>
      <c r="D69" s="242" t="s">
        <v>561</v>
      </c>
      <c r="E69" s="242">
        <v>2.58</v>
      </c>
      <c r="F69" s="244">
        <f t="shared" si="2"/>
        <v>3.0441850000000001</v>
      </c>
    </row>
    <row r="70" spans="1:6">
      <c r="A70" s="130" t="s">
        <v>94</v>
      </c>
      <c r="B70" s="242" t="s">
        <v>570</v>
      </c>
      <c r="C70" s="242" t="s">
        <v>571</v>
      </c>
      <c r="D70" s="242" t="s">
        <v>372</v>
      </c>
      <c r="E70" s="242">
        <v>8.1</v>
      </c>
      <c r="F70" s="244">
        <f t="shared" si="2"/>
        <v>9.5573249999999987</v>
      </c>
    </row>
    <row r="71" spans="1:6">
      <c r="A71" s="130" t="s">
        <v>94</v>
      </c>
      <c r="B71" s="242" t="s">
        <v>572</v>
      </c>
      <c r="C71" s="242" t="s">
        <v>475</v>
      </c>
      <c r="D71" s="242" t="s">
        <v>476</v>
      </c>
      <c r="E71" s="242">
        <v>7.5</v>
      </c>
      <c r="F71" s="244">
        <f t="shared" si="2"/>
        <v>8.8493750000000002</v>
      </c>
    </row>
    <row r="72" spans="1:6">
      <c r="A72" s="130" t="s">
        <v>94</v>
      </c>
      <c r="B72" s="242" t="s">
        <v>573</v>
      </c>
      <c r="C72" s="242" t="s">
        <v>574</v>
      </c>
      <c r="D72" s="242" t="s">
        <v>575</v>
      </c>
      <c r="E72" s="242">
        <v>4.74</v>
      </c>
      <c r="F72" s="244">
        <f t="shared" si="2"/>
        <v>5.5928050000000002</v>
      </c>
    </row>
    <row r="73" spans="1:6">
      <c r="A73" s="130" t="s">
        <v>94</v>
      </c>
      <c r="B73" s="242" t="s">
        <v>576</v>
      </c>
      <c r="C73" s="242" t="s">
        <v>452</v>
      </c>
      <c r="D73" s="242" t="s">
        <v>453</v>
      </c>
      <c r="E73" s="242">
        <v>5.16</v>
      </c>
      <c r="F73" s="244">
        <f t="shared" si="2"/>
        <v>6.0883700000000003</v>
      </c>
    </row>
    <row r="74" spans="1:6">
      <c r="A74" s="130" t="s">
        <v>94</v>
      </c>
      <c r="B74" s="242" t="s">
        <v>577</v>
      </c>
      <c r="C74" s="242" t="s">
        <v>578</v>
      </c>
      <c r="D74" s="242" t="s">
        <v>498</v>
      </c>
      <c r="E74" s="242">
        <v>1.92</v>
      </c>
      <c r="F74" s="244">
        <f t="shared" si="2"/>
        <v>2.2654400000000003</v>
      </c>
    </row>
    <row r="75" spans="1:6">
      <c r="A75" s="130" t="s">
        <v>94</v>
      </c>
      <c r="B75" s="242" t="s">
        <v>579</v>
      </c>
      <c r="C75" s="242" t="s">
        <v>483</v>
      </c>
      <c r="D75" s="242" t="s">
        <v>459</v>
      </c>
      <c r="E75" s="242">
        <v>2.46</v>
      </c>
      <c r="F75" s="244">
        <f t="shared" si="2"/>
        <v>2.9025949999999998</v>
      </c>
    </row>
    <row r="76" spans="1:6">
      <c r="A76" s="130" t="s">
        <v>94</v>
      </c>
      <c r="B76" s="242" t="s">
        <v>580</v>
      </c>
      <c r="C76" s="242" t="s">
        <v>520</v>
      </c>
      <c r="D76" s="242" t="s">
        <v>521</v>
      </c>
      <c r="E76" s="242">
        <v>5.76</v>
      </c>
      <c r="F76" s="244">
        <f t="shared" si="2"/>
        <v>6.7963199999999997</v>
      </c>
    </row>
    <row r="77" spans="1:6">
      <c r="A77" s="130" t="s">
        <v>94</v>
      </c>
      <c r="B77" s="242" t="s">
        <v>581</v>
      </c>
      <c r="C77" s="242" t="s">
        <v>582</v>
      </c>
      <c r="D77" s="242" t="s">
        <v>521</v>
      </c>
      <c r="E77" s="242">
        <v>2.64</v>
      </c>
      <c r="F77" s="244">
        <f t="shared" si="2"/>
        <v>3.1149800000000001</v>
      </c>
    </row>
    <row r="78" spans="1:6">
      <c r="A78" s="130" t="s">
        <v>94</v>
      </c>
      <c r="B78" s="242" t="s">
        <v>583</v>
      </c>
      <c r="C78" s="242" t="s">
        <v>529</v>
      </c>
      <c r="D78" s="242" t="s">
        <v>394</v>
      </c>
      <c r="E78" s="242">
        <v>6.66</v>
      </c>
      <c r="F78" s="244">
        <f t="shared" si="2"/>
        <v>7.858245000000001</v>
      </c>
    </row>
    <row r="79" spans="1:6">
      <c r="A79" s="130" t="s">
        <v>94</v>
      </c>
      <c r="B79" s="242" t="s">
        <v>584</v>
      </c>
      <c r="C79" s="242" t="s">
        <v>452</v>
      </c>
      <c r="D79" s="242" t="s">
        <v>453</v>
      </c>
      <c r="E79" s="242">
        <v>4.62</v>
      </c>
      <c r="F79" s="244">
        <f t="shared" si="2"/>
        <v>5.4512150000000004</v>
      </c>
    </row>
    <row r="80" spans="1:6">
      <c r="A80" s="130" t="s">
        <v>94</v>
      </c>
      <c r="B80" s="242" t="s">
        <v>585</v>
      </c>
      <c r="C80" s="242" t="s">
        <v>552</v>
      </c>
      <c r="D80" s="242" t="s">
        <v>456</v>
      </c>
      <c r="E80" s="242">
        <v>2.82</v>
      </c>
      <c r="F80" s="244">
        <f t="shared" si="2"/>
        <v>3.3273649999999999</v>
      </c>
    </row>
    <row r="81" spans="1:6">
      <c r="A81" s="130" t="s">
        <v>94</v>
      </c>
      <c r="B81" s="242" t="s">
        <v>586</v>
      </c>
      <c r="C81" s="242" t="s">
        <v>587</v>
      </c>
      <c r="D81" s="242" t="s">
        <v>503</v>
      </c>
      <c r="E81" s="242">
        <v>4.38</v>
      </c>
      <c r="F81" s="244">
        <f t="shared" si="2"/>
        <v>5.1680349999999997</v>
      </c>
    </row>
    <row r="82" spans="1:6">
      <c r="A82" s="130" t="s">
        <v>94</v>
      </c>
      <c r="B82" s="242" t="s">
        <v>588</v>
      </c>
      <c r="C82" s="242" t="s">
        <v>467</v>
      </c>
      <c r="D82" s="242" t="s">
        <v>459</v>
      </c>
      <c r="E82" s="242">
        <v>3.36</v>
      </c>
      <c r="F82" s="244">
        <f t="shared" si="2"/>
        <v>3.9645199999999998</v>
      </c>
    </row>
    <row r="83" spans="1:6">
      <c r="A83" s="130" t="s">
        <v>94</v>
      </c>
      <c r="B83" s="242" t="s">
        <v>589</v>
      </c>
      <c r="C83" s="242" t="s">
        <v>472</v>
      </c>
      <c r="D83" s="242" t="s">
        <v>473</v>
      </c>
      <c r="E83" s="242">
        <v>10.86</v>
      </c>
      <c r="F83" s="244">
        <f t="shared" si="2"/>
        <v>12.813894999999999</v>
      </c>
    </row>
    <row r="84" spans="1:6">
      <c r="A84" s="130" t="s">
        <v>94</v>
      </c>
      <c r="B84" s="242" t="s">
        <v>590</v>
      </c>
      <c r="C84" s="242" t="s">
        <v>520</v>
      </c>
      <c r="D84" s="242" t="s">
        <v>521</v>
      </c>
      <c r="E84" s="242">
        <v>3.12</v>
      </c>
      <c r="F84" s="244">
        <f t="shared" si="2"/>
        <v>3.6813400000000005</v>
      </c>
    </row>
    <row r="85" spans="1:6">
      <c r="A85" s="130" t="s">
        <v>94</v>
      </c>
      <c r="B85" s="242" t="s">
        <v>591</v>
      </c>
      <c r="C85" s="242" t="s">
        <v>523</v>
      </c>
      <c r="D85" s="242" t="s">
        <v>524</v>
      </c>
      <c r="E85" s="242">
        <v>2.16</v>
      </c>
      <c r="F85" s="244">
        <f t="shared" si="2"/>
        <v>2.5486200000000006</v>
      </c>
    </row>
    <row r="86" spans="1:6">
      <c r="A86" s="130" t="s">
        <v>94</v>
      </c>
      <c r="B86" s="242" t="s">
        <v>592</v>
      </c>
      <c r="C86" s="242" t="s">
        <v>593</v>
      </c>
      <c r="D86" s="242" t="s">
        <v>524</v>
      </c>
      <c r="E86" s="242">
        <v>2.76</v>
      </c>
      <c r="F86" s="244">
        <f t="shared" si="2"/>
        <v>3.25657</v>
      </c>
    </row>
    <row r="87" spans="1:6">
      <c r="A87" s="130" t="s">
        <v>94</v>
      </c>
      <c r="B87" s="242" t="s">
        <v>594</v>
      </c>
      <c r="C87" s="242" t="s">
        <v>574</v>
      </c>
      <c r="D87" s="242" t="s">
        <v>575</v>
      </c>
      <c r="E87" s="242">
        <v>2.34</v>
      </c>
      <c r="F87" s="244">
        <f t="shared" si="2"/>
        <v>2.7610049999999999</v>
      </c>
    </row>
    <row r="88" spans="1:6">
      <c r="A88" s="130" t="s">
        <v>94</v>
      </c>
      <c r="B88" s="242" t="s">
        <v>595</v>
      </c>
      <c r="C88" s="242" t="s">
        <v>482</v>
      </c>
      <c r="D88" s="242" t="s">
        <v>383</v>
      </c>
      <c r="E88" s="242">
        <v>3</v>
      </c>
      <c r="F88" s="244">
        <f t="shared" si="2"/>
        <v>3.5397500000000002</v>
      </c>
    </row>
    <row r="89" spans="1:6">
      <c r="A89" s="130" t="s">
        <v>94</v>
      </c>
      <c r="B89" s="242" t="s">
        <v>596</v>
      </c>
      <c r="C89" s="242" t="s">
        <v>502</v>
      </c>
      <c r="D89" s="242" t="s">
        <v>503</v>
      </c>
      <c r="E89" s="242">
        <v>16.5</v>
      </c>
      <c r="F89" s="244">
        <f t="shared" si="2"/>
        <v>19.468624999999999</v>
      </c>
    </row>
    <row r="90" spans="1:6">
      <c r="A90" s="130" t="s">
        <v>94</v>
      </c>
      <c r="B90" s="242" t="s">
        <v>597</v>
      </c>
      <c r="C90" s="242" t="s">
        <v>598</v>
      </c>
      <c r="D90" s="242" t="s">
        <v>383</v>
      </c>
      <c r="E90" s="242">
        <v>6.72</v>
      </c>
      <c r="F90" s="244">
        <f t="shared" si="2"/>
        <v>7.9290399999999996</v>
      </c>
    </row>
    <row r="91" spans="1:6">
      <c r="A91" s="130" t="s">
        <v>94</v>
      </c>
      <c r="B91" s="242" t="s">
        <v>599</v>
      </c>
      <c r="C91" s="242" t="s">
        <v>529</v>
      </c>
      <c r="D91" s="242" t="s">
        <v>394</v>
      </c>
      <c r="E91" s="242">
        <v>3.6</v>
      </c>
      <c r="F91" s="244">
        <f t="shared" si="2"/>
        <v>4.2477</v>
      </c>
    </row>
    <row r="92" spans="1:6">
      <c r="A92" s="130" t="s">
        <v>94</v>
      </c>
      <c r="B92" s="242" t="s">
        <v>600</v>
      </c>
      <c r="C92" s="242" t="s">
        <v>452</v>
      </c>
      <c r="D92" s="242" t="s">
        <v>453</v>
      </c>
      <c r="E92" s="242">
        <v>3.36</v>
      </c>
      <c r="F92" s="244">
        <f t="shared" si="2"/>
        <v>3.9645199999999998</v>
      </c>
    </row>
    <row r="93" spans="1:6">
      <c r="A93" s="130" t="s">
        <v>94</v>
      </c>
      <c r="B93" s="242" t="s">
        <v>601</v>
      </c>
      <c r="C93" s="242" t="s">
        <v>602</v>
      </c>
      <c r="D93" s="242" t="s">
        <v>603</v>
      </c>
      <c r="E93" s="242">
        <v>6.36</v>
      </c>
      <c r="F93" s="244">
        <f t="shared" si="2"/>
        <v>7.5042700000000009</v>
      </c>
    </row>
    <row r="94" spans="1:6">
      <c r="A94" s="130" t="s">
        <v>94</v>
      </c>
      <c r="B94" s="242" t="s">
        <v>604</v>
      </c>
      <c r="C94" s="242" t="s">
        <v>483</v>
      </c>
      <c r="D94" s="242" t="s">
        <v>459</v>
      </c>
      <c r="E94" s="242">
        <v>4.08</v>
      </c>
      <c r="F94" s="244">
        <f t="shared" si="2"/>
        <v>4.8140600000000004</v>
      </c>
    </row>
    <row r="95" spans="1:6">
      <c r="A95" s="130" t="s">
        <v>94</v>
      </c>
      <c r="B95" s="242" t="s">
        <v>605</v>
      </c>
      <c r="C95" s="242" t="s">
        <v>461</v>
      </c>
      <c r="D95" s="242" t="s">
        <v>459</v>
      </c>
      <c r="E95" s="242">
        <v>5.34</v>
      </c>
      <c r="F95" s="244">
        <f t="shared" si="2"/>
        <v>6.3007550000000005</v>
      </c>
    </row>
    <row r="96" spans="1:6">
      <c r="A96" s="130" t="s">
        <v>94</v>
      </c>
      <c r="B96" s="242" t="s">
        <v>606</v>
      </c>
      <c r="C96" s="242" t="s">
        <v>607</v>
      </c>
      <c r="D96" s="242" t="s">
        <v>391</v>
      </c>
      <c r="E96" s="242">
        <v>2.7</v>
      </c>
      <c r="F96" s="244">
        <f t="shared" si="2"/>
        <v>3.185775</v>
      </c>
    </row>
    <row r="97" spans="1:6">
      <c r="A97" s="130" t="s">
        <v>94</v>
      </c>
      <c r="B97" s="242" t="s">
        <v>608</v>
      </c>
      <c r="C97" s="242" t="s">
        <v>609</v>
      </c>
      <c r="D97" s="242" t="s">
        <v>459</v>
      </c>
      <c r="E97" s="242">
        <v>1.86</v>
      </c>
      <c r="F97" s="244">
        <f t="shared" si="2"/>
        <v>2.194645</v>
      </c>
    </row>
    <row r="98" spans="1:6">
      <c r="A98" s="130" t="s">
        <v>94</v>
      </c>
      <c r="B98" s="242" t="s">
        <v>610</v>
      </c>
      <c r="C98" s="242" t="s">
        <v>472</v>
      </c>
      <c r="D98" s="242" t="s">
        <v>473</v>
      </c>
      <c r="E98" s="242">
        <v>13.56</v>
      </c>
      <c r="F98" s="244">
        <f t="shared" si="2"/>
        <v>15.999670000000002</v>
      </c>
    </row>
    <row r="99" spans="1:6">
      <c r="A99" s="130" t="s">
        <v>94</v>
      </c>
      <c r="B99" s="242" t="s">
        <v>611</v>
      </c>
      <c r="C99" s="242" t="s">
        <v>475</v>
      </c>
      <c r="D99" s="242" t="s">
        <v>476</v>
      </c>
      <c r="E99" s="242">
        <v>5.64</v>
      </c>
      <c r="F99" s="244">
        <f t="shared" si="2"/>
        <v>6.6547299999999998</v>
      </c>
    </row>
    <row r="100" spans="1:6">
      <c r="A100" s="130" t="s">
        <v>94</v>
      </c>
      <c r="B100" s="242" t="s">
        <v>612</v>
      </c>
      <c r="C100" s="242" t="s">
        <v>497</v>
      </c>
      <c r="D100" s="242" t="s">
        <v>498</v>
      </c>
      <c r="E100" s="242">
        <v>2.64</v>
      </c>
      <c r="F100" s="244">
        <f t="shared" ref="F100:F121" si="3">E100/6*7.0795</f>
        <v>3.1149800000000001</v>
      </c>
    </row>
    <row r="101" spans="1:6">
      <c r="A101" s="130" t="s">
        <v>94</v>
      </c>
      <c r="B101" s="242" t="s">
        <v>613</v>
      </c>
      <c r="C101" s="242" t="s">
        <v>574</v>
      </c>
      <c r="D101" s="242" t="s">
        <v>575</v>
      </c>
      <c r="E101" s="242">
        <v>3.24</v>
      </c>
      <c r="F101" s="244">
        <f t="shared" si="3"/>
        <v>3.8229300000000004</v>
      </c>
    </row>
    <row r="102" spans="1:6">
      <c r="A102" s="130" t="s">
        <v>94</v>
      </c>
      <c r="B102" s="242" t="s">
        <v>614</v>
      </c>
      <c r="C102" s="242" t="s">
        <v>502</v>
      </c>
      <c r="D102" s="242" t="s">
        <v>503</v>
      </c>
      <c r="E102" s="242">
        <v>11.28</v>
      </c>
      <c r="F102" s="244">
        <f t="shared" si="3"/>
        <v>13.30946</v>
      </c>
    </row>
    <row r="103" spans="1:6">
      <c r="A103" s="130" t="s">
        <v>94</v>
      </c>
      <c r="B103" s="242" t="s">
        <v>615</v>
      </c>
      <c r="C103" s="242" t="s">
        <v>529</v>
      </c>
      <c r="D103" s="242" t="s">
        <v>394</v>
      </c>
      <c r="E103" s="242">
        <v>3.8</v>
      </c>
      <c r="F103" s="244">
        <f t="shared" si="3"/>
        <v>4.4836833333333335</v>
      </c>
    </row>
    <row r="104" spans="1:6">
      <c r="A104" s="130" t="s">
        <v>94</v>
      </c>
      <c r="B104" s="242" t="s">
        <v>616</v>
      </c>
      <c r="C104" s="242" t="s">
        <v>452</v>
      </c>
      <c r="D104" s="242" t="s">
        <v>453</v>
      </c>
      <c r="E104" s="242">
        <v>6.54</v>
      </c>
      <c r="F104" s="244">
        <f t="shared" si="3"/>
        <v>7.7166550000000012</v>
      </c>
    </row>
    <row r="105" spans="1:6">
      <c r="A105" s="130" t="s">
        <v>94</v>
      </c>
      <c r="B105" s="242" t="s">
        <v>617</v>
      </c>
      <c r="C105" s="242" t="s">
        <v>509</v>
      </c>
      <c r="D105" s="242" t="s">
        <v>459</v>
      </c>
      <c r="E105" s="242">
        <v>1.98</v>
      </c>
      <c r="F105" s="244">
        <f t="shared" si="3"/>
        <v>2.3362350000000003</v>
      </c>
    </row>
    <row r="106" spans="1:6">
      <c r="A106" s="130" t="s">
        <v>94</v>
      </c>
      <c r="B106" s="242" t="s">
        <v>618</v>
      </c>
      <c r="C106" s="242" t="s">
        <v>619</v>
      </c>
      <c r="D106" s="242" t="s">
        <v>453</v>
      </c>
      <c r="E106" s="242">
        <v>4.9800000000000004</v>
      </c>
      <c r="F106" s="244">
        <f t="shared" si="3"/>
        <v>5.8759850000000009</v>
      </c>
    </row>
    <row r="107" spans="1:6">
      <c r="A107" s="130" t="s">
        <v>94</v>
      </c>
      <c r="B107" s="242" t="s">
        <v>620</v>
      </c>
      <c r="C107" s="242" t="s">
        <v>621</v>
      </c>
      <c r="D107" s="242" t="s">
        <v>387</v>
      </c>
      <c r="E107" s="242">
        <v>2.04</v>
      </c>
      <c r="F107" s="244">
        <f t="shared" si="3"/>
        <v>2.4070300000000002</v>
      </c>
    </row>
    <row r="108" spans="1:6">
      <c r="A108" s="130" t="s">
        <v>94</v>
      </c>
      <c r="B108" s="242" t="s">
        <v>622</v>
      </c>
      <c r="C108" s="242" t="s">
        <v>483</v>
      </c>
      <c r="D108" s="242" t="s">
        <v>459</v>
      </c>
      <c r="E108" s="242">
        <v>4.74</v>
      </c>
      <c r="F108" s="244">
        <f t="shared" si="3"/>
        <v>5.5928050000000002</v>
      </c>
    </row>
    <row r="109" spans="1:6">
      <c r="A109" s="130" t="s">
        <v>94</v>
      </c>
      <c r="B109" s="242" t="s">
        <v>623</v>
      </c>
      <c r="C109" s="242" t="s">
        <v>624</v>
      </c>
      <c r="D109" s="242" t="s">
        <v>625</v>
      </c>
      <c r="E109" s="242">
        <v>7.62</v>
      </c>
      <c r="F109" s="244">
        <f t="shared" si="3"/>
        <v>8.990965000000001</v>
      </c>
    </row>
    <row r="110" spans="1:6">
      <c r="A110" s="130" t="s">
        <v>94</v>
      </c>
      <c r="B110" s="242" t="s">
        <v>471</v>
      </c>
      <c r="C110" s="242" t="s">
        <v>472</v>
      </c>
      <c r="D110" s="242" t="s">
        <v>473</v>
      </c>
      <c r="E110" s="242">
        <v>1.1299999999999999</v>
      </c>
      <c r="F110" s="244">
        <f t="shared" si="3"/>
        <v>1.3333058333333334</v>
      </c>
    </row>
    <row r="111" spans="1:6">
      <c r="A111" s="130" t="s">
        <v>94</v>
      </c>
      <c r="B111" s="242" t="s">
        <v>626</v>
      </c>
      <c r="C111" s="242" t="s">
        <v>627</v>
      </c>
      <c r="D111" s="242" t="s">
        <v>575</v>
      </c>
      <c r="E111" s="242">
        <v>2.52</v>
      </c>
      <c r="F111" s="244">
        <f t="shared" si="3"/>
        <v>2.9733900000000002</v>
      </c>
    </row>
    <row r="112" spans="1:6">
      <c r="A112" s="130" t="s">
        <v>94</v>
      </c>
      <c r="B112" s="242" t="s">
        <v>628</v>
      </c>
      <c r="C112" s="242" t="s">
        <v>509</v>
      </c>
      <c r="D112" s="242" t="s">
        <v>459</v>
      </c>
      <c r="E112" s="242">
        <v>9.06</v>
      </c>
      <c r="F112" s="244">
        <f t="shared" si="3"/>
        <v>10.690045000000001</v>
      </c>
    </row>
    <row r="113" spans="1:6">
      <c r="A113" s="130" t="s">
        <v>94</v>
      </c>
      <c r="B113" s="242" t="s">
        <v>629</v>
      </c>
      <c r="C113" s="242" t="s">
        <v>531</v>
      </c>
      <c r="D113" s="242" t="s">
        <v>453</v>
      </c>
      <c r="E113" s="242">
        <v>4.1399999999999997</v>
      </c>
      <c r="F113" s="244">
        <f t="shared" si="3"/>
        <v>4.8848549999999999</v>
      </c>
    </row>
    <row r="114" spans="1:6">
      <c r="A114" s="130" t="s">
        <v>94</v>
      </c>
      <c r="B114" s="242" t="s">
        <v>630</v>
      </c>
      <c r="C114" s="242" t="s">
        <v>483</v>
      </c>
      <c r="D114" s="242" t="s">
        <v>459</v>
      </c>
      <c r="E114" s="242">
        <v>9.06</v>
      </c>
      <c r="F114" s="244">
        <f t="shared" si="3"/>
        <v>10.690045000000001</v>
      </c>
    </row>
    <row r="115" spans="1:6">
      <c r="A115" s="130" t="s">
        <v>94</v>
      </c>
      <c r="B115" s="242" t="s">
        <v>631</v>
      </c>
      <c r="C115" s="242" t="s">
        <v>461</v>
      </c>
      <c r="D115" s="242" t="s">
        <v>459</v>
      </c>
      <c r="E115" s="242">
        <v>3.36</v>
      </c>
      <c r="F115" s="244">
        <f t="shared" si="3"/>
        <v>3.9645199999999998</v>
      </c>
    </row>
    <row r="116" spans="1:6">
      <c r="A116" s="130" t="s">
        <v>94</v>
      </c>
      <c r="B116" s="242" t="s">
        <v>632</v>
      </c>
      <c r="C116" s="242" t="s">
        <v>483</v>
      </c>
      <c r="D116" s="242" t="s">
        <v>459</v>
      </c>
      <c r="E116" s="242">
        <v>1.98</v>
      </c>
      <c r="F116" s="244">
        <f t="shared" si="3"/>
        <v>2.3362350000000003</v>
      </c>
    </row>
    <row r="117" spans="1:6">
      <c r="A117" s="130" t="s">
        <v>94</v>
      </c>
      <c r="B117" s="242" t="s">
        <v>633</v>
      </c>
      <c r="C117" s="242" t="s">
        <v>472</v>
      </c>
      <c r="D117" s="242" t="s">
        <v>473</v>
      </c>
      <c r="E117" s="242">
        <v>9.3000000000000007</v>
      </c>
      <c r="F117" s="244">
        <f t="shared" si="3"/>
        <v>10.973225000000001</v>
      </c>
    </row>
    <row r="118" spans="1:6">
      <c r="A118" s="130" t="s">
        <v>94</v>
      </c>
      <c r="B118" s="242" t="s">
        <v>634</v>
      </c>
      <c r="C118" s="242" t="s">
        <v>635</v>
      </c>
      <c r="D118" s="242" t="s">
        <v>372</v>
      </c>
      <c r="E118" s="242">
        <v>4.1399999999999997</v>
      </c>
      <c r="F118" s="244">
        <f t="shared" si="3"/>
        <v>4.8848549999999999</v>
      </c>
    </row>
    <row r="119" spans="1:6">
      <c r="A119" s="130" t="s">
        <v>94</v>
      </c>
      <c r="B119" s="242" t="s">
        <v>636</v>
      </c>
      <c r="C119" s="242" t="s">
        <v>574</v>
      </c>
      <c r="D119" s="242" t="s">
        <v>575</v>
      </c>
      <c r="E119" s="242">
        <v>9.24</v>
      </c>
      <c r="F119" s="244">
        <f t="shared" si="3"/>
        <v>10.902430000000001</v>
      </c>
    </row>
    <row r="120" spans="1:6">
      <c r="A120" s="130" t="s">
        <v>94</v>
      </c>
      <c r="B120" s="242" t="s">
        <v>637</v>
      </c>
      <c r="C120" s="242" t="s">
        <v>638</v>
      </c>
      <c r="D120" s="242" t="s">
        <v>527</v>
      </c>
      <c r="E120" s="242">
        <v>2.46</v>
      </c>
      <c r="F120" s="244">
        <f t="shared" si="3"/>
        <v>2.9025949999999998</v>
      </c>
    </row>
    <row r="121" spans="1:6">
      <c r="A121" s="130" t="s">
        <v>94</v>
      </c>
      <c r="B121" s="242" t="s">
        <v>639</v>
      </c>
      <c r="C121" s="242" t="s">
        <v>529</v>
      </c>
      <c r="D121" s="242" t="s">
        <v>394</v>
      </c>
      <c r="E121" s="242">
        <v>6.72</v>
      </c>
      <c r="F121" s="244">
        <f t="shared" si="3"/>
        <v>7.9290399999999996</v>
      </c>
    </row>
    <row r="122" spans="1:6">
      <c r="A122" s="857" t="s">
        <v>182</v>
      </c>
      <c r="B122" s="857"/>
      <c r="C122" s="857"/>
      <c r="D122" s="857"/>
      <c r="E122" s="242">
        <f>SUM(E3:E121)</f>
        <v>572.65000000000009</v>
      </c>
      <c r="F122" s="244">
        <f>SUM(F3:F121)</f>
        <v>675.67927916666667</v>
      </c>
    </row>
  </sheetData>
  <autoFilter ref="A1:F122"/>
  <mergeCells count="4">
    <mergeCell ref="B1:E1"/>
    <mergeCell ref="A122:D122"/>
    <mergeCell ref="A1:A2"/>
    <mergeCell ref="F1:F2"/>
  </mergeCells>
  <phoneticPr fontId="92" type="noConversion"/>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theme="5"/>
  </sheetPr>
  <dimension ref="A1:H43"/>
  <sheetViews>
    <sheetView topLeftCell="A10" workbookViewId="0">
      <selection activeCell="A27" sqref="A27"/>
    </sheetView>
  </sheetViews>
  <sheetFormatPr defaultColWidth="34.375" defaultRowHeight="18.75"/>
  <cols>
    <col min="1" max="1" width="34.375" style="233" customWidth="1"/>
    <col min="2" max="2" width="20.5" style="233" customWidth="1"/>
    <col min="3" max="3" width="17.625" style="233" customWidth="1"/>
    <col min="4" max="4" width="19.125" style="233" customWidth="1"/>
    <col min="5" max="5" width="22.875" style="233" customWidth="1"/>
    <col min="6" max="6" width="21.625" style="233" customWidth="1"/>
    <col min="7" max="7" width="11.5" style="234" customWidth="1"/>
    <col min="8" max="8" width="18" style="233" customWidth="1"/>
    <col min="9" max="9" width="34.375" style="233" customWidth="1"/>
    <col min="10" max="16384" width="34.375" style="233"/>
  </cols>
  <sheetData>
    <row r="1" spans="1:8" ht="33.950000000000003" customHeight="1">
      <c r="A1" s="867" t="s">
        <v>640</v>
      </c>
      <c r="B1" s="864" t="s">
        <v>365</v>
      </c>
      <c r="C1" s="865"/>
      <c r="D1" s="865"/>
      <c r="E1" s="866"/>
      <c r="F1" s="867" t="s">
        <v>641</v>
      </c>
      <c r="G1" s="869" t="s">
        <v>642</v>
      </c>
      <c r="H1" s="863" t="s">
        <v>643</v>
      </c>
    </row>
    <row r="2" spans="1:8" ht="26.1" customHeight="1">
      <c r="A2" s="868"/>
      <c r="B2" s="236" t="s">
        <v>367</v>
      </c>
      <c r="C2" s="236" t="s">
        <v>332</v>
      </c>
      <c r="D2" s="236" t="s">
        <v>368</v>
      </c>
      <c r="E2" s="236" t="s">
        <v>644</v>
      </c>
      <c r="F2" s="868"/>
      <c r="G2" s="869"/>
      <c r="H2" s="863"/>
    </row>
    <row r="3" spans="1:8">
      <c r="A3" s="236" t="s">
        <v>96</v>
      </c>
      <c r="B3" s="236">
        <v>19072</v>
      </c>
      <c r="C3" s="236" t="s">
        <v>645</v>
      </c>
      <c r="D3" s="236" t="s">
        <v>383</v>
      </c>
      <c r="E3" s="236">
        <v>21.82</v>
      </c>
      <c r="F3" s="237">
        <v>15.5649</v>
      </c>
      <c r="G3" s="238">
        <v>0.2</v>
      </c>
      <c r="H3" s="237">
        <f>F3*7.0795*G3</f>
        <v>22.03834191</v>
      </c>
    </row>
    <row r="4" spans="1:8">
      <c r="A4" s="236" t="s">
        <v>96</v>
      </c>
      <c r="B4" s="236">
        <v>19082</v>
      </c>
      <c r="C4" s="236" t="s">
        <v>645</v>
      </c>
      <c r="D4" s="236" t="s">
        <v>383</v>
      </c>
      <c r="E4" s="236">
        <v>14.78</v>
      </c>
      <c r="F4" s="237">
        <v>10.54</v>
      </c>
      <c r="G4" s="238">
        <v>0.2</v>
      </c>
      <c r="H4" s="237">
        <f t="shared" ref="H4:H41" si="0">F4*7.0795*G4</f>
        <v>14.923586</v>
      </c>
    </row>
    <row r="5" spans="1:8">
      <c r="A5" s="236" t="s">
        <v>96</v>
      </c>
      <c r="B5" s="236">
        <v>19267</v>
      </c>
      <c r="C5" s="236" t="s">
        <v>645</v>
      </c>
      <c r="D5" s="236" t="s">
        <v>383</v>
      </c>
      <c r="E5" s="236">
        <v>7.71</v>
      </c>
      <c r="F5" s="237">
        <v>5.4995000000000003</v>
      </c>
      <c r="G5" s="238">
        <v>0.2</v>
      </c>
      <c r="H5" s="237">
        <f t="shared" si="0"/>
        <v>7.7867420500000009</v>
      </c>
    </row>
    <row r="6" spans="1:8">
      <c r="A6" s="236" t="s">
        <v>96</v>
      </c>
      <c r="B6" s="236">
        <v>19354</v>
      </c>
      <c r="C6" s="236" t="s">
        <v>645</v>
      </c>
      <c r="D6" s="236" t="s">
        <v>383</v>
      </c>
      <c r="E6" s="236">
        <v>3.75</v>
      </c>
      <c r="F6" s="237">
        <v>2.6779999999999999</v>
      </c>
      <c r="G6" s="238">
        <v>0.2</v>
      </c>
      <c r="H6" s="237">
        <f t="shared" si="0"/>
        <v>3.7917802000000003</v>
      </c>
    </row>
    <row r="7" spans="1:8">
      <c r="A7" s="236" t="s">
        <v>96</v>
      </c>
      <c r="B7" s="236">
        <v>20009</v>
      </c>
      <c r="C7" s="236" t="s">
        <v>645</v>
      </c>
      <c r="D7" s="236" t="s">
        <v>383</v>
      </c>
      <c r="E7" s="236">
        <v>3.23</v>
      </c>
      <c r="F7" s="237">
        <v>12.25</v>
      </c>
      <c r="G7" s="238">
        <v>0.2</v>
      </c>
      <c r="H7" s="237">
        <f t="shared" si="0"/>
        <v>17.344775000000002</v>
      </c>
    </row>
    <row r="8" spans="1:8">
      <c r="A8" s="236" t="s">
        <v>96</v>
      </c>
      <c r="B8" s="236">
        <v>19319</v>
      </c>
      <c r="C8" s="236" t="s">
        <v>646</v>
      </c>
      <c r="D8" s="236" t="s">
        <v>459</v>
      </c>
      <c r="E8" s="236">
        <v>5.3</v>
      </c>
      <c r="F8" s="237">
        <v>2.52</v>
      </c>
      <c r="G8" s="238">
        <v>0.3</v>
      </c>
      <c r="H8" s="237">
        <f t="shared" si="0"/>
        <v>5.3521020000000004</v>
      </c>
    </row>
    <row r="9" spans="1:8">
      <c r="A9" s="236" t="s">
        <v>96</v>
      </c>
      <c r="B9" s="236">
        <v>19346</v>
      </c>
      <c r="C9" s="236" t="s">
        <v>646</v>
      </c>
      <c r="D9" s="236" t="s">
        <v>459</v>
      </c>
      <c r="E9" s="236">
        <v>35.54</v>
      </c>
      <c r="F9" s="237">
        <v>17.91695</v>
      </c>
      <c r="G9" s="238">
        <v>0.3</v>
      </c>
      <c r="H9" s="237">
        <f t="shared" si="0"/>
        <v>38.052914257499999</v>
      </c>
    </row>
    <row r="10" spans="1:8">
      <c r="A10" s="236" t="s">
        <v>96</v>
      </c>
      <c r="B10" s="236">
        <v>19148</v>
      </c>
      <c r="C10" s="236" t="s">
        <v>647</v>
      </c>
      <c r="D10" s="236" t="s">
        <v>490</v>
      </c>
      <c r="E10" s="236">
        <v>24.14</v>
      </c>
      <c r="F10" s="237">
        <v>17.8</v>
      </c>
      <c r="G10" s="238">
        <v>0.2</v>
      </c>
      <c r="H10" s="237">
        <f t="shared" si="0"/>
        <v>25.203020000000006</v>
      </c>
    </row>
    <row r="11" spans="1:8">
      <c r="A11" s="236" t="s">
        <v>96</v>
      </c>
      <c r="B11" s="236">
        <v>19378</v>
      </c>
      <c r="C11" s="236" t="s">
        <v>647</v>
      </c>
      <c r="D11" s="236" t="s">
        <v>490</v>
      </c>
      <c r="E11" s="236">
        <v>11.57</v>
      </c>
      <c r="F11" s="237">
        <v>13.327999999999999</v>
      </c>
      <c r="G11" s="238">
        <v>0.2</v>
      </c>
      <c r="H11" s="237">
        <f t="shared" si="0"/>
        <v>18.871115200000002</v>
      </c>
    </row>
    <row r="12" spans="1:8">
      <c r="A12" s="236" t="s">
        <v>96</v>
      </c>
      <c r="B12" s="236">
        <v>19383</v>
      </c>
      <c r="C12" s="236" t="s">
        <v>647</v>
      </c>
      <c r="D12" s="236" t="s">
        <v>490</v>
      </c>
      <c r="E12" s="236">
        <v>4.3899999999999997</v>
      </c>
      <c r="F12" s="237">
        <v>3.5053920000000001</v>
      </c>
      <c r="G12" s="238">
        <v>0.2</v>
      </c>
      <c r="H12" s="237">
        <f t="shared" si="0"/>
        <v>4.9632845328000004</v>
      </c>
    </row>
    <row r="13" spans="1:8">
      <c r="A13" s="236" t="s">
        <v>96</v>
      </c>
      <c r="B13" s="236">
        <v>19292</v>
      </c>
      <c r="C13" s="236" t="s">
        <v>648</v>
      </c>
      <c r="D13" s="236" t="s">
        <v>459</v>
      </c>
      <c r="E13" s="236">
        <v>27.9</v>
      </c>
      <c r="F13" s="237">
        <v>13.272</v>
      </c>
      <c r="G13" s="238">
        <v>0.3</v>
      </c>
      <c r="H13" s="237">
        <f t="shared" si="0"/>
        <v>28.187737200000001</v>
      </c>
    </row>
    <row r="14" spans="1:8">
      <c r="A14" s="236" t="s">
        <v>96</v>
      </c>
      <c r="B14" s="236">
        <v>19132</v>
      </c>
      <c r="C14" s="236" t="s">
        <v>648</v>
      </c>
      <c r="D14" s="236" t="s">
        <v>459</v>
      </c>
      <c r="E14" s="236">
        <v>26.38</v>
      </c>
      <c r="F14" s="237">
        <v>12.54</v>
      </c>
      <c r="G14" s="238">
        <v>0.3</v>
      </c>
      <c r="H14" s="237">
        <f t="shared" si="0"/>
        <v>26.633078999999999</v>
      </c>
    </row>
    <row r="15" spans="1:8">
      <c r="A15" s="236" t="s">
        <v>96</v>
      </c>
      <c r="B15" s="236">
        <v>19375</v>
      </c>
      <c r="C15" s="236" t="s">
        <v>648</v>
      </c>
      <c r="D15" s="236" t="s">
        <v>459</v>
      </c>
      <c r="E15" s="236">
        <v>14.63</v>
      </c>
      <c r="F15" s="237">
        <v>6.9551999999999996</v>
      </c>
      <c r="G15" s="238">
        <v>0.3</v>
      </c>
      <c r="H15" s="237">
        <f t="shared" si="0"/>
        <v>14.77180152</v>
      </c>
    </row>
    <row r="16" spans="1:8">
      <c r="A16" s="236" t="s">
        <v>96</v>
      </c>
      <c r="B16" s="236">
        <v>19276</v>
      </c>
      <c r="C16" s="236" t="s">
        <v>649</v>
      </c>
      <c r="D16" s="236" t="s">
        <v>383</v>
      </c>
      <c r="E16" s="236">
        <v>11.19</v>
      </c>
      <c r="F16" s="237">
        <v>5.32</v>
      </c>
      <c r="G16" s="238">
        <v>0.3</v>
      </c>
      <c r="H16" s="237">
        <f t="shared" si="0"/>
        <v>11.298882000000001</v>
      </c>
    </row>
    <row r="17" spans="1:8">
      <c r="A17" s="236" t="s">
        <v>96</v>
      </c>
      <c r="B17" s="236">
        <v>19230</v>
      </c>
      <c r="C17" s="236" t="s">
        <v>649</v>
      </c>
      <c r="D17" s="236" t="s">
        <v>383</v>
      </c>
      <c r="E17" s="236">
        <v>9.42</v>
      </c>
      <c r="F17" s="237">
        <v>4.4800000000000004</v>
      </c>
      <c r="G17" s="238">
        <v>0.3</v>
      </c>
      <c r="H17" s="237">
        <f t="shared" si="0"/>
        <v>9.5148480000000006</v>
      </c>
    </row>
    <row r="18" spans="1:8">
      <c r="A18" s="236" t="s">
        <v>96</v>
      </c>
      <c r="B18" s="236">
        <v>19227</v>
      </c>
      <c r="C18" s="236" t="s">
        <v>649</v>
      </c>
      <c r="D18" s="236" t="s">
        <v>383</v>
      </c>
      <c r="E18" s="236">
        <v>14.05</v>
      </c>
      <c r="F18" s="237">
        <v>7.41</v>
      </c>
      <c r="G18" s="238">
        <v>0.3</v>
      </c>
      <c r="H18" s="237">
        <f t="shared" si="0"/>
        <v>15.737728500000001</v>
      </c>
    </row>
    <row r="19" spans="1:8">
      <c r="A19" s="236" t="s">
        <v>96</v>
      </c>
      <c r="B19" s="236">
        <v>19038</v>
      </c>
      <c r="C19" s="236" t="s">
        <v>649</v>
      </c>
      <c r="D19" s="236" t="s">
        <v>383</v>
      </c>
      <c r="E19" s="236">
        <v>15.99</v>
      </c>
      <c r="F19" s="237">
        <v>9.4499999999999993</v>
      </c>
      <c r="G19" s="238">
        <v>0.3</v>
      </c>
      <c r="H19" s="237">
        <f t="shared" si="0"/>
        <v>20.070382499999997</v>
      </c>
    </row>
    <row r="20" spans="1:8">
      <c r="A20" s="236" t="s">
        <v>96</v>
      </c>
      <c r="B20" s="236">
        <v>19229</v>
      </c>
      <c r="C20" s="236" t="s">
        <v>649</v>
      </c>
      <c r="D20" s="236" t="s">
        <v>383</v>
      </c>
      <c r="E20" s="236">
        <v>7.22</v>
      </c>
      <c r="F20" s="237">
        <v>3.4319999999999999</v>
      </c>
      <c r="G20" s="238">
        <v>0.3</v>
      </c>
      <c r="H20" s="237">
        <f t="shared" si="0"/>
        <v>7.2890531999999997</v>
      </c>
    </row>
    <row r="21" spans="1:8">
      <c r="A21" s="236" t="s">
        <v>96</v>
      </c>
      <c r="B21" s="236">
        <v>19201</v>
      </c>
      <c r="C21" s="236" t="s">
        <v>650</v>
      </c>
      <c r="D21" s="236" t="s">
        <v>383</v>
      </c>
      <c r="E21" s="236">
        <v>1.71</v>
      </c>
      <c r="F21" s="237">
        <v>3.0259999999999998</v>
      </c>
      <c r="G21" s="238">
        <v>0.1</v>
      </c>
      <c r="H21" s="237">
        <f t="shared" si="0"/>
        <v>2.1422567000000003</v>
      </c>
    </row>
    <row r="22" spans="1:8">
      <c r="A22" s="236" t="s">
        <v>96</v>
      </c>
      <c r="B22" s="236">
        <v>19145</v>
      </c>
      <c r="C22" s="236" t="s">
        <v>651</v>
      </c>
      <c r="D22" s="236" t="s">
        <v>498</v>
      </c>
      <c r="E22" s="236">
        <v>33.700000000000003</v>
      </c>
      <c r="F22" s="237">
        <v>16.0242</v>
      </c>
      <c r="G22" s="238">
        <v>0.3</v>
      </c>
      <c r="H22" s="237">
        <f t="shared" si="0"/>
        <v>34.032997170000002</v>
      </c>
    </row>
    <row r="23" spans="1:8">
      <c r="A23" s="236" t="s">
        <v>96</v>
      </c>
      <c r="B23" s="236">
        <v>19352</v>
      </c>
      <c r="C23" s="236" t="s">
        <v>652</v>
      </c>
      <c r="D23" s="236" t="s">
        <v>459</v>
      </c>
      <c r="E23" s="236">
        <v>5.54</v>
      </c>
      <c r="F23" s="237">
        <v>10.107900000000001</v>
      </c>
      <c r="G23" s="238">
        <v>0.1</v>
      </c>
      <c r="H23" s="237">
        <f t="shared" si="0"/>
        <v>7.1558878050000008</v>
      </c>
    </row>
    <row r="24" spans="1:8">
      <c r="A24" s="236" t="s">
        <v>96</v>
      </c>
      <c r="B24" s="236">
        <v>19297</v>
      </c>
      <c r="C24" s="236" t="s">
        <v>653</v>
      </c>
      <c r="D24" s="236" t="s">
        <v>459</v>
      </c>
      <c r="E24" s="236">
        <v>10.1</v>
      </c>
      <c r="F24" s="237">
        <v>13.26</v>
      </c>
      <c r="G24" s="238">
        <v>0.15</v>
      </c>
      <c r="H24" s="237">
        <f t="shared" si="0"/>
        <v>14.081125500000001</v>
      </c>
    </row>
    <row r="25" spans="1:8">
      <c r="A25" s="236" t="s">
        <v>96</v>
      </c>
      <c r="B25" s="236">
        <v>19242</v>
      </c>
      <c r="C25" s="236" t="s">
        <v>654</v>
      </c>
      <c r="D25" s="236" t="s">
        <v>414</v>
      </c>
      <c r="E25" s="236">
        <v>5.35</v>
      </c>
      <c r="F25" s="237">
        <v>6.0006000000000004</v>
      </c>
      <c r="G25" s="238">
        <v>0.15</v>
      </c>
      <c r="H25" s="237">
        <f t="shared" si="0"/>
        <v>6.3721871550000007</v>
      </c>
    </row>
    <row r="26" spans="1:8">
      <c r="A26" s="236" t="s">
        <v>96</v>
      </c>
      <c r="B26" s="236">
        <v>19384</v>
      </c>
      <c r="C26" s="236" t="s">
        <v>654</v>
      </c>
      <c r="D26" s="236" t="s">
        <v>414</v>
      </c>
      <c r="E26" s="236">
        <v>4.37</v>
      </c>
      <c r="F26" s="237">
        <v>8.0652000000000008</v>
      </c>
      <c r="G26" s="238">
        <v>0.15</v>
      </c>
      <c r="H26" s="237">
        <f t="shared" si="0"/>
        <v>8.5646375100000007</v>
      </c>
    </row>
    <row r="27" spans="1:8">
      <c r="A27" s="372" t="s">
        <v>3064</v>
      </c>
      <c r="B27" s="236">
        <v>19272</v>
      </c>
      <c r="C27" s="236" t="s">
        <v>655</v>
      </c>
      <c r="D27" s="236" t="s">
        <v>498</v>
      </c>
      <c r="E27" s="236">
        <v>3.64</v>
      </c>
      <c r="F27" s="237">
        <v>7.6077000000000004</v>
      </c>
      <c r="G27" s="238">
        <v>0.15</v>
      </c>
      <c r="H27" s="237">
        <f t="shared" si="0"/>
        <v>8.0788068225000007</v>
      </c>
    </row>
    <row r="28" spans="1:8">
      <c r="A28" s="236" t="s">
        <v>96</v>
      </c>
      <c r="B28" s="236">
        <v>19222</v>
      </c>
      <c r="C28" s="236" t="s">
        <v>656</v>
      </c>
      <c r="D28" s="236" t="s">
        <v>383</v>
      </c>
      <c r="E28" s="236">
        <v>1.94</v>
      </c>
      <c r="F28" s="237">
        <v>2.7774999999999999</v>
      </c>
      <c r="G28" s="235">
        <v>0.1</v>
      </c>
      <c r="H28" s="237">
        <f t="shared" si="0"/>
        <v>1.966331125</v>
      </c>
    </row>
    <row r="29" spans="1:8">
      <c r="A29" s="236" t="s">
        <v>96</v>
      </c>
      <c r="B29" s="236">
        <v>19202</v>
      </c>
      <c r="C29" s="236" t="s">
        <v>657</v>
      </c>
      <c r="D29" s="236" t="s">
        <v>476</v>
      </c>
      <c r="E29" s="236">
        <v>3.4</v>
      </c>
      <c r="F29" s="237">
        <v>20.034800000000001</v>
      </c>
      <c r="G29" s="235">
        <v>0.1</v>
      </c>
      <c r="H29" s="237">
        <f t="shared" si="0"/>
        <v>14.183636660000003</v>
      </c>
    </row>
    <row r="30" spans="1:8">
      <c r="A30" s="236" t="s">
        <v>96</v>
      </c>
      <c r="B30" s="236">
        <v>19089</v>
      </c>
      <c r="C30" s="236" t="s">
        <v>658</v>
      </c>
      <c r="D30" s="236" t="s">
        <v>498</v>
      </c>
      <c r="E30" s="236">
        <v>5.7</v>
      </c>
      <c r="F30" s="237">
        <v>10.924300000000001</v>
      </c>
      <c r="G30" s="235">
        <v>0.15</v>
      </c>
      <c r="H30" s="237">
        <f t="shared" si="0"/>
        <v>11.600787277500002</v>
      </c>
    </row>
    <row r="31" spans="1:8">
      <c r="A31" s="236" t="s">
        <v>96</v>
      </c>
      <c r="B31" s="236">
        <v>19023</v>
      </c>
      <c r="C31" s="236" t="s">
        <v>659</v>
      </c>
      <c r="D31" s="236" t="s">
        <v>498</v>
      </c>
      <c r="E31" s="236">
        <v>4.68</v>
      </c>
      <c r="F31" s="237">
        <v>21.701499999999999</v>
      </c>
      <c r="G31" s="238">
        <v>0.1</v>
      </c>
      <c r="H31" s="237">
        <f t="shared" si="0"/>
        <v>15.363576925000002</v>
      </c>
    </row>
    <row r="32" spans="1:8">
      <c r="A32" s="236" t="s">
        <v>96</v>
      </c>
      <c r="B32" s="236">
        <v>19126</v>
      </c>
      <c r="C32" s="236" t="s">
        <v>660</v>
      </c>
      <c r="D32" s="236" t="s">
        <v>372</v>
      </c>
      <c r="E32" s="236">
        <v>1.49</v>
      </c>
      <c r="F32" s="237">
        <v>12.800700000000001</v>
      </c>
      <c r="G32" s="238">
        <v>0.05</v>
      </c>
      <c r="H32" s="237">
        <f t="shared" si="0"/>
        <v>4.5311277825000005</v>
      </c>
    </row>
    <row r="33" spans="1:8">
      <c r="A33" s="236" t="s">
        <v>96</v>
      </c>
      <c r="B33" s="236">
        <v>19288</v>
      </c>
      <c r="C33" s="236" t="s">
        <v>661</v>
      </c>
      <c r="D33" s="236" t="s">
        <v>383</v>
      </c>
      <c r="E33" s="236">
        <v>1.32</v>
      </c>
      <c r="F33" s="237">
        <v>3.4045999999999998</v>
      </c>
      <c r="G33" s="238">
        <v>0.1</v>
      </c>
      <c r="H33" s="237">
        <f t="shared" si="0"/>
        <v>2.4102865700000002</v>
      </c>
    </row>
    <row r="34" spans="1:8">
      <c r="A34" s="236" t="s">
        <v>96</v>
      </c>
      <c r="B34" s="236">
        <v>19125</v>
      </c>
      <c r="C34" s="236" t="s">
        <v>661</v>
      </c>
      <c r="D34" s="236" t="s">
        <v>383</v>
      </c>
      <c r="E34" s="236">
        <v>1.89</v>
      </c>
      <c r="F34" s="237">
        <v>10.6029</v>
      </c>
      <c r="G34" s="238">
        <v>0.1</v>
      </c>
      <c r="H34" s="237">
        <f t="shared" si="0"/>
        <v>7.5063230550000002</v>
      </c>
    </row>
    <row r="35" spans="1:8">
      <c r="A35" s="236" t="s">
        <v>96</v>
      </c>
      <c r="B35" s="236">
        <v>19282</v>
      </c>
      <c r="C35" s="236" t="s">
        <v>662</v>
      </c>
      <c r="D35" s="236" t="s">
        <v>498</v>
      </c>
      <c r="E35" s="236">
        <v>8.1999999999999993</v>
      </c>
      <c r="F35" s="237">
        <v>6.5</v>
      </c>
      <c r="G35" s="238">
        <v>0.2</v>
      </c>
      <c r="H35" s="237">
        <f t="shared" si="0"/>
        <v>9.2033500000000004</v>
      </c>
    </row>
    <row r="36" spans="1:8">
      <c r="A36" s="236" t="s">
        <v>96</v>
      </c>
      <c r="B36" s="236">
        <v>19246</v>
      </c>
      <c r="C36" s="236" t="s">
        <v>663</v>
      </c>
      <c r="D36" s="236" t="s">
        <v>490</v>
      </c>
      <c r="E36" s="236">
        <v>1.4</v>
      </c>
      <c r="F36" s="237">
        <v>10.4018</v>
      </c>
      <c r="G36" s="238">
        <v>0.05</v>
      </c>
      <c r="H36" s="237">
        <f t="shared" si="0"/>
        <v>3.6819771550000002</v>
      </c>
    </row>
    <row r="37" spans="1:8">
      <c r="A37" s="236" t="s">
        <v>96</v>
      </c>
      <c r="B37" s="236">
        <v>19192</v>
      </c>
      <c r="C37" s="236" t="s">
        <v>664</v>
      </c>
      <c r="D37" s="236" t="s">
        <v>665</v>
      </c>
      <c r="E37" s="236">
        <v>1.1299999999999999</v>
      </c>
      <c r="F37" s="237">
        <v>12.800700000000001</v>
      </c>
      <c r="G37" s="238">
        <v>0.05</v>
      </c>
      <c r="H37" s="237">
        <f t="shared" si="0"/>
        <v>4.5311277825000005</v>
      </c>
    </row>
    <row r="38" spans="1:8">
      <c r="A38" s="236" t="s">
        <v>96</v>
      </c>
      <c r="B38" s="236">
        <v>19330</v>
      </c>
      <c r="C38" s="236" t="s">
        <v>666</v>
      </c>
      <c r="D38" s="236" t="s">
        <v>521</v>
      </c>
      <c r="E38" s="236">
        <v>1.22</v>
      </c>
      <c r="F38" s="237">
        <v>9.1259999999999994</v>
      </c>
      <c r="G38" s="238">
        <v>0.1</v>
      </c>
      <c r="H38" s="237">
        <f t="shared" si="0"/>
        <v>6.4607517000000003</v>
      </c>
    </row>
    <row r="39" spans="1:8">
      <c r="A39" s="236" t="s">
        <v>96</v>
      </c>
      <c r="B39" s="236">
        <v>19237</v>
      </c>
      <c r="C39" s="236" t="s">
        <v>667</v>
      </c>
      <c r="D39" s="236" t="s">
        <v>414</v>
      </c>
      <c r="E39" s="236">
        <v>1.21</v>
      </c>
      <c r="F39" s="237">
        <v>10.0258</v>
      </c>
      <c r="G39" s="238">
        <v>0.05</v>
      </c>
      <c r="H39" s="237">
        <f t="shared" si="0"/>
        <v>3.5488825550000005</v>
      </c>
    </row>
    <row r="40" spans="1:8">
      <c r="A40" s="236" t="s">
        <v>96</v>
      </c>
      <c r="B40" s="236">
        <v>19093</v>
      </c>
      <c r="C40" s="236" t="s">
        <v>668</v>
      </c>
      <c r="D40" s="236" t="s">
        <v>459</v>
      </c>
      <c r="E40" s="236">
        <v>4.9000000000000004</v>
      </c>
      <c r="F40" s="237">
        <v>17.206</v>
      </c>
      <c r="G40" s="238">
        <v>0.1</v>
      </c>
      <c r="H40" s="237">
        <f t="shared" si="0"/>
        <v>12.180987700000001</v>
      </c>
    </row>
    <row r="41" spans="1:8">
      <c r="A41" s="236" t="s">
        <v>96</v>
      </c>
      <c r="B41" s="236">
        <v>19150</v>
      </c>
      <c r="C41" s="236" t="s">
        <v>669</v>
      </c>
      <c r="D41" s="236" t="s">
        <v>670</v>
      </c>
      <c r="E41" s="236">
        <v>3.5</v>
      </c>
      <c r="F41" s="237">
        <v>10.0131</v>
      </c>
      <c r="G41" s="238">
        <v>0.05</v>
      </c>
      <c r="H41" s="237">
        <f t="shared" si="0"/>
        <v>3.5443870725000006</v>
      </c>
    </row>
    <row r="42" spans="1:8">
      <c r="A42" s="236" t="s">
        <v>182</v>
      </c>
      <c r="B42" s="864"/>
      <c r="C42" s="865"/>
      <c r="D42" s="866"/>
      <c r="E42" s="236">
        <f>SUM(E3:E41)</f>
        <v>365.39999999999992</v>
      </c>
      <c r="F42" s="237">
        <f>SUM(F3:F41)</f>
        <v>386.87324199999995</v>
      </c>
      <c r="G42" s="235"/>
      <c r="H42" s="237">
        <f>SUM(H3:H41)</f>
        <v>472.97260509279999</v>
      </c>
    </row>
    <row r="43" spans="1:8">
      <c r="F43" s="237">
        <f>F42*7.0795</f>
        <v>2738.8691167389998</v>
      </c>
    </row>
  </sheetData>
  <mergeCells count="6">
    <mergeCell ref="H1:H2"/>
    <mergeCell ref="B1:E1"/>
    <mergeCell ref="B42:D42"/>
    <mergeCell ref="A1:A2"/>
    <mergeCell ref="F1:F2"/>
    <mergeCell ref="G1:G2"/>
  </mergeCells>
  <phoneticPr fontId="92" type="noConversion"/>
  <pageMargins left="0.75" right="0.75" top="1" bottom="1" header="0.5" footer="0.5"/>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dimension ref="A1:I45"/>
  <sheetViews>
    <sheetView topLeftCell="A40" workbookViewId="0">
      <selection activeCell="E19" sqref="E19"/>
    </sheetView>
  </sheetViews>
  <sheetFormatPr defaultColWidth="8.875" defaultRowHeight="13.5"/>
  <cols>
    <col min="1" max="1" width="25" style="110" customWidth="1"/>
    <col min="2" max="2" width="16.875" style="110" customWidth="1"/>
    <col min="3" max="3" width="19.625" style="110" customWidth="1"/>
    <col min="4" max="4" width="13.5" style="110" customWidth="1"/>
    <col min="5" max="5" width="16.125" style="110" customWidth="1"/>
    <col min="6" max="6" width="20.875" style="110"/>
    <col min="7" max="7" width="12.875" style="110"/>
    <col min="8" max="8" width="13" style="110" customWidth="1"/>
    <col min="9" max="9" width="29.125" style="202" customWidth="1"/>
    <col min="10" max="11" width="8.875" style="110"/>
    <col min="12" max="12" width="4.625" style="110" customWidth="1"/>
    <col min="13" max="16384" width="8.875" style="110"/>
  </cols>
  <sheetData>
    <row r="1" spans="1:9" ht="33" customHeight="1">
      <c r="A1" s="845" t="s">
        <v>671</v>
      </c>
      <c r="B1" s="845"/>
      <c r="C1" s="845"/>
      <c r="D1" s="845"/>
      <c r="E1" s="845"/>
      <c r="F1" s="845" t="s">
        <v>672</v>
      </c>
    </row>
    <row r="2" spans="1:9" ht="27">
      <c r="A2" s="203" t="s">
        <v>673</v>
      </c>
      <c r="B2" s="203" t="s">
        <v>180</v>
      </c>
      <c r="C2" s="203" t="s">
        <v>674</v>
      </c>
      <c r="D2" s="203" t="s">
        <v>675</v>
      </c>
      <c r="E2" s="199" t="s">
        <v>676</v>
      </c>
      <c r="F2" s="845"/>
    </row>
    <row r="3" spans="1:9" ht="14.25">
      <c r="A3" s="845" t="s">
        <v>677</v>
      </c>
      <c r="B3" s="203">
        <v>1</v>
      </c>
      <c r="C3" s="203">
        <v>20190723</v>
      </c>
      <c r="D3" s="203">
        <v>19.399999999999999</v>
      </c>
      <c r="E3" s="845">
        <v>254.41</v>
      </c>
      <c r="F3" s="870">
        <f>SUM(I8:I28)</f>
        <v>67290546297</v>
      </c>
      <c r="I3" s="229"/>
    </row>
    <row r="4" spans="1:9" ht="14.25">
      <c r="A4" s="845"/>
      <c r="B4" s="203">
        <v>2</v>
      </c>
      <c r="C4" s="203">
        <v>20190808</v>
      </c>
      <c r="D4" s="203">
        <v>97.41</v>
      </c>
      <c r="E4" s="845"/>
      <c r="F4" s="870"/>
      <c r="I4" s="229"/>
    </row>
    <row r="5" spans="1:9">
      <c r="A5" s="845"/>
      <c r="B5" s="203">
        <v>3</v>
      </c>
      <c r="C5" s="203">
        <v>20190919</v>
      </c>
      <c r="D5" s="203">
        <v>35.85</v>
      </c>
      <c r="E5" s="845"/>
      <c r="F5" s="870"/>
      <c r="I5" s="230"/>
    </row>
    <row r="6" spans="1:9" ht="14.25">
      <c r="A6" s="845"/>
      <c r="B6" s="203">
        <v>4</v>
      </c>
      <c r="C6" s="203">
        <v>20191107</v>
      </c>
      <c r="D6" s="203">
        <v>24.35</v>
      </c>
      <c r="E6" s="845"/>
      <c r="F6" s="870"/>
      <c r="I6" s="229"/>
    </row>
    <row r="7" spans="1:9" ht="14.25">
      <c r="A7" s="845"/>
      <c r="B7" s="203">
        <v>5</v>
      </c>
      <c r="C7" s="203">
        <v>20191226</v>
      </c>
      <c r="D7" s="203">
        <v>26.89</v>
      </c>
      <c r="E7" s="845"/>
      <c r="F7" s="870"/>
      <c r="H7" s="110">
        <v>142800000</v>
      </c>
      <c r="I7" s="229"/>
    </row>
    <row r="8" spans="1:9" ht="18.75">
      <c r="A8" s="845"/>
      <c r="B8" s="203">
        <v>6</v>
      </c>
      <c r="C8" s="203">
        <v>20191226</v>
      </c>
      <c r="D8" s="203">
        <v>24.35</v>
      </c>
      <c r="E8" s="845"/>
      <c r="F8" s="870"/>
      <c r="H8" s="110">
        <f>F3/H7</f>
        <v>471.22231300420168</v>
      </c>
      <c r="I8" s="231">
        <v>2736997687</v>
      </c>
    </row>
    <row r="9" spans="1:9" ht="18.75">
      <c r="A9" s="845"/>
      <c r="B9" s="203">
        <v>7</v>
      </c>
      <c r="C9" s="203">
        <v>20200127</v>
      </c>
      <c r="D9" s="203">
        <v>26.16</v>
      </c>
      <c r="E9" s="845"/>
      <c r="F9" s="870"/>
      <c r="I9" s="231">
        <v>2770534800</v>
      </c>
    </row>
    <row r="10" spans="1:9" ht="18.75">
      <c r="A10" s="845" t="s">
        <v>678</v>
      </c>
      <c r="B10" s="203">
        <v>8</v>
      </c>
      <c r="C10" s="203">
        <v>20190731</v>
      </c>
      <c r="D10" s="203">
        <v>10.29</v>
      </c>
      <c r="E10" s="845">
        <v>77.44</v>
      </c>
      <c r="F10" s="870"/>
      <c r="I10" s="231">
        <v>1469745666</v>
      </c>
    </row>
    <row r="11" spans="1:9" ht="18.75">
      <c r="A11" s="845"/>
      <c r="B11" s="203">
        <v>9</v>
      </c>
      <c r="C11" s="203">
        <v>20190902</v>
      </c>
      <c r="D11" s="203">
        <v>10.06</v>
      </c>
      <c r="E11" s="845"/>
      <c r="F11" s="870"/>
      <c r="I11" s="231">
        <v>13910400000</v>
      </c>
    </row>
    <row r="12" spans="1:9" ht="18.75">
      <c r="A12" s="845"/>
      <c r="B12" s="203">
        <v>10</v>
      </c>
      <c r="C12" s="203">
        <v>20190927</v>
      </c>
      <c r="D12" s="203">
        <v>9.09</v>
      </c>
      <c r="E12" s="845"/>
      <c r="F12" s="870"/>
      <c r="I12" s="231">
        <v>2250222051</v>
      </c>
    </row>
    <row r="13" spans="1:9" ht="18.75">
      <c r="A13" s="845"/>
      <c r="B13" s="203">
        <v>11</v>
      </c>
      <c r="C13" s="203">
        <v>20191126</v>
      </c>
      <c r="D13" s="203">
        <v>28.77</v>
      </c>
      <c r="E13" s="845"/>
      <c r="F13" s="870"/>
      <c r="I13" s="231">
        <v>1435352140</v>
      </c>
    </row>
    <row r="14" spans="1:9" ht="18.75">
      <c r="A14" s="845"/>
      <c r="B14" s="203">
        <v>12</v>
      </c>
      <c r="C14" s="203">
        <v>20191227</v>
      </c>
      <c r="D14" s="203">
        <v>9.17</v>
      </c>
      <c r="E14" s="845"/>
      <c r="F14" s="870"/>
      <c r="I14" s="231">
        <v>5119009701</v>
      </c>
    </row>
    <row r="15" spans="1:9" ht="18.75">
      <c r="A15" s="845"/>
      <c r="B15" s="203">
        <v>13</v>
      </c>
      <c r="C15" s="203">
        <v>20191227</v>
      </c>
      <c r="D15" s="203">
        <v>1.39</v>
      </c>
      <c r="E15" s="845"/>
      <c r="F15" s="870"/>
      <c r="I15" s="232">
        <v>1298300232</v>
      </c>
    </row>
    <row r="16" spans="1:9" ht="18.75">
      <c r="A16" s="845"/>
      <c r="B16" s="203">
        <v>14</v>
      </c>
      <c r="C16" s="203">
        <v>20200124</v>
      </c>
      <c r="D16" s="203">
        <v>8.67</v>
      </c>
      <c r="E16" s="845"/>
      <c r="F16" s="870"/>
      <c r="I16" s="232">
        <v>2693273123</v>
      </c>
    </row>
    <row r="17" spans="1:9" ht="18.75">
      <c r="A17" s="845" t="s">
        <v>679</v>
      </c>
      <c r="B17" s="203">
        <v>15</v>
      </c>
      <c r="C17" s="203">
        <v>20190712</v>
      </c>
      <c r="D17" s="203">
        <v>19.16</v>
      </c>
      <c r="E17" s="845">
        <v>139.38</v>
      </c>
      <c r="F17" s="870"/>
      <c r="I17" s="232">
        <v>2934790418</v>
      </c>
    </row>
    <row r="18" spans="1:9" ht="18.75">
      <c r="A18" s="845"/>
      <c r="B18" s="203">
        <v>16</v>
      </c>
      <c r="C18" s="203">
        <v>20190809</v>
      </c>
      <c r="D18" s="203">
        <v>15.76</v>
      </c>
      <c r="E18" s="845"/>
      <c r="F18" s="870"/>
      <c r="I18" s="232">
        <v>3477600000</v>
      </c>
    </row>
    <row r="19" spans="1:9" ht="18.75">
      <c r="A19" s="845"/>
      <c r="B19" s="203">
        <v>17</v>
      </c>
      <c r="C19" s="203">
        <v>20190927</v>
      </c>
      <c r="D19" s="203">
        <v>18.86</v>
      </c>
      <c r="E19" s="845"/>
      <c r="F19" s="870"/>
      <c r="I19" s="232">
        <v>4107642480</v>
      </c>
    </row>
    <row r="20" spans="1:9" ht="18.75">
      <c r="A20" s="845"/>
      <c r="B20" s="203">
        <v>18</v>
      </c>
      <c r="C20" s="203">
        <v>20191025</v>
      </c>
      <c r="D20" s="203">
        <v>20.55</v>
      </c>
      <c r="E20" s="845"/>
      <c r="F20" s="870"/>
      <c r="I20" s="232">
        <v>2810204758</v>
      </c>
    </row>
    <row r="21" spans="1:9" ht="18.75">
      <c r="A21" s="845"/>
      <c r="B21" s="203">
        <v>19</v>
      </c>
      <c r="C21" s="203">
        <v>20191129</v>
      </c>
      <c r="D21" s="203">
        <v>19.68</v>
      </c>
      <c r="E21" s="845"/>
      <c r="F21" s="870"/>
      <c r="I21" s="232">
        <v>3477600000</v>
      </c>
    </row>
    <row r="22" spans="1:9" ht="18.75">
      <c r="A22" s="845"/>
      <c r="B22" s="203">
        <v>20</v>
      </c>
      <c r="C22" s="203">
        <v>20200121</v>
      </c>
      <c r="D22" s="203">
        <v>21.75</v>
      </c>
      <c r="E22" s="845"/>
      <c r="F22" s="870"/>
      <c r="I22" s="232">
        <v>3839220000</v>
      </c>
    </row>
    <row r="23" spans="1:9" ht="18.75">
      <c r="A23" s="845"/>
      <c r="B23" s="203">
        <v>21</v>
      </c>
      <c r="C23" s="203">
        <v>20200131</v>
      </c>
      <c r="D23" s="203">
        <v>23.62</v>
      </c>
      <c r="E23" s="845"/>
      <c r="F23" s="870"/>
      <c r="I23" s="232">
        <v>1309629475</v>
      </c>
    </row>
    <row r="24" spans="1:9" ht="18.75">
      <c r="A24" s="845" t="s">
        <v>680</v>
      </c>
      <c r="B24" s="203">
        <v>22</v>
      </c>
      <c r="C24" s="203">
        <v>20200117</v>
      </c>
      <c r="D24" s="203">
        <v>19.88</v>
      </c>
      <c r="E24" s="845">
        <v>29.09</v>
      </c>
      <c r="F24" s="870">
        <v>1978589.6</v>
      </c>
      <c r="I24" s="232">
        <v>198462556</v>
      </c>
    </row>
    <row r="25" spans="1:9" ht="18.75">
      <c r="A25" s="845"/>
      <c r="B25" s="203">
        <v>23</v>
      </c>
      <c r="C25" s="203">
        <v>20200327</v>
      </c>
      <c r="D25" s="203">
        <v>9.2100000000000009</v>
      </c>
      <c r="E25" s="845"/>
      <c r="F25" s="870"/>
      <c r="I25" s="232">
        <v>3105486092</v>
      </c>
    </row>
    <row r="26" spans="1:9" ht="18.75">
      <c r="A26" s="845" t="s">
        <v>681</v>
      </c>
      <c r="B26" s="203">
        <v>24</v>
      </c>
      <c r="C26" s="203">
        <v>20190806</v>
      </c>
      <c r="D26" s="203">
        <v>13.55</v>
      </c>
      <c r="E26" s="845">
        <v>25.66</v>
      </c>
      <c r="F26" s="870">
        <f>921237.24+823726.93</f>
        <v>1744964.17</v>
      </c>
      <c r="I26" s="232">
        <v>1238264896</v>
      </c>
    </row>
    <row r="27" spans="1:9" ht="18.75">
      <c r="A27" s="845"/>
      <c r="B27" s="203">
        <v>25</v>
      </c>
      <c r="C27" s="203">
        <v>20191010</v>
      </c>
      <c r="D27" s="203">
        <v>12.11</v>
      </c>
      <c r="E27" s="845"/>
      <c r="F27" s="870"/>
      <c r="I27" s="232">
        <v>3735329000</v>
      </c>
    </row>
    <row r="28" spans="1:9" ht="18.75">
      <c r="A28" s="845" t="s">
        <v>682</v>
      </c>
      <c r="B28" s="203">
        <v>26</v>
      </c>
      <c r="C28" s="203">
        <v>20190718</v>
      </c>
      <c r="D28" s="203">
        <v>2.94</v>
      </c>
      <c r="E28" s="845">
        <v>125.39</v>
      </c>
      <c r="F28" s="870">
        <f>200000+451248.38+451248.39+400950+400950+367178.22+367178.23+348016.93+348016.94+866138.23+817568.99+473220+473220+1070447.04+943128.29+550000</f>
        <v>8528509.6400000006</v>
      </c>
      <c r="I28" s="232">
        <v>3372481222</v>
      </c>
    </row>
    <row r="29" spans="1:9">
      <c r="A29" s="845"/>
      <c r="B29" s="203">
        <v>27</v>
      </c>
      <c r="C29" s="203">
        <v>20190718</v>
      </c>
      <c r="D29" s="203">
        <v>6.64</v>
      </c>
      <c r="E29" s="845"/>
      <c r="F29" s="870"/>
    </row>
    <row r="30" spans="1:9">
      <c r="A30" s="845"/>
      <c r="B30" s="203">
        <v>28</v>
      </c>
      <c r="C30" s="203">
        <v>20190816</v>
      </c>
      <c r="D30" s="203">
        <v>6.64</v>
      </c>
      <c r="E30" s="845"/>
      <c r="F30" s="870"/>
    </row>
    <row r="31" spans="1:9">
      <c r="A31" s="845"/>
      <c r="B31" s="203">
        <v>29</v>
      </c>
      <c r="C31" s="203">
        <v>20190906</v>
      </c>
      <c r="D31" s="203">
        <v>5.9</v>
      </c>
      <c r="E31" s="845"/>
      <c r="F31" s="870"/>
    </row>
    <row r="32" spans="1:9">
      <c r="A32" s="845"/>
      <c r="B32" s="203">
        <v>30</v>
      </c>
      <c r="C32" s="203">
        <v>20190909</v>
      </c>
      <c r="D32" s="203">
        <v>5.9</v>
      </c>
      <c r="E32" s="845"/>
      <c r="F32" s="870"/>
    </row>
    <row r="33" spans="1:6">
      <c r="A33" s="845"/>
      <c r="B33" s="203">
        <v>31</v>
      </c>
      <c r="C33" s="203">
        <v>20191009</v>
      </c>
      <c r="D33" s="203">
        <v>5.4</v>
      </c>
      <c r="E33" s="845"/>
      <c r="F33" s="870"/>
    </row>
    <row r="34" spans="1:6">
      <c r="A34" s="845"/>
      <c r="B34" s="203">
        <v>32</v>
      </c>
      <c r="C34" s="203">
        <v>20191011</v>
      </c>
      <c r="D34" s="203">
        <v>5.4</v>
      </c>
      <c r="E34" s="845"/>
      <c r="F34" s="870"/>
    </row>
    <row r="35" spans="1:6">
      <c r="A35" s="845"/>
      <c r="B35" s="203">
        <v>33</v>
      </c>
      <c r="C35" s="203">
        <v>20191024</v>
      </c>
      <c r="D35" s="203">
        <v>5.12</v>
      </c>
      <c r="E35" s="845"/>
      <c r="F35" s="870"/>
    </row>
    <row r="36" spans="1:6">
      <c r="A36" s="845"/>
      <c r="B36" s="203">
        <v>34</v>
      </c>
      <c r="C36" s="203">
        <v>20191025</v>
      </c>
      <c r="D36" s="203">
        <v>5.12</v>
      </c>
      <c r="E36" s="845"/>
      <c r="F36" s="870"/>
    </row>
    <row r="37" spans="1:6">
      <c r="A37" s="845"/>
      <c r="B37" s="203">
        <v>35</v>
      </c>
      <c r="C37" s="203">
        <v>20200117</v>
      </c>
      <c r="D37" s="203">
        <v>12.73</v>
      </c>
      <c r="E37" s="845"/>
      <c r="F37" s="870"/>
    </row>
    <row r="38" spans="1:6">
      <c r="A38" s="845"/>
      <c r="B38" s="203">
        <v>36</v>
      </c>
      <c r="C38" s="203">
        <v>20200117</v>
      </c>
      <c r="D38" s="203">
        <v>12.02</v>
      </c>
      <c r="E38" s="845"/>
      <c r="F38" s="870"/>
    </row>
    <row r="39" spans="1:6">
      <c r="A39" s="845"/>
      <c r="B39" s="203">
        <v>37</v>
      </c>
      <c r="C39" s="203">
        <v>20200120</v>
      </c>
      <c r="D39" s="203">
        <v>6.95</v>
      </c>
      <c r="E39" s="845"/>
      <c r="F39" s="870"/>
    </row>
    <row r="40" spans="1:6">
      <c r="A40" s="845"/>
      <c r="B40" s="203">
        <v>38</v>
      </c>
      <c r="C40" s="203">
        <v>20200120</v>
      </c>
      <c r="D40" s="203">
        <v>6.95</v>
      </c>
      <c r="E40" s="845"/>
      <c r="F40" s="870"/>
    </row>
    <row r="41" spans="1:6">
      <c r="A41" s="845"/>
      <c r="B41" s="203">
        <v>39</v>
      </c>
      <c r="C41" s="203">
        <v>20200227</v>
      </c>
      <c r="D41" s="203">
        <v>15.74</v>
      </c>
      <c r="E41" s="845"/>
      <c r="F41" s="870"/>
    </row>
    <row r="42" spans="1:6">
      <c r="A42" s="845"/>
      <c r="B42" s="203">
        <v>40</v>
      </c>
      <c r="C42" s="203">
        <v>20200325</v>
      </c>
      <c r="D42" s="203">
        <v>13.86</v>
      </c>
      <c r="E42" s="845"/>
      <c r="F42" s="870"/>
    </row>
    <row r="43" spans="1:6">
      <c r="A43" s="845"/>
      <c r="B43" s="203">
        <v>41</v>
      </c>
      <c r="C43" s="203">
        <v>20200326</v>
      </c>
      <c r="D43" s="203">
        <v>8.08</v>
      </c>
      <c r="E43" s="845"/>
      <c r="F43" s="870"/>
    </row>
    <row r="44" spans="1:6">
      <c r="A44" s="203" t="s">
        <v>182</v>
      </c>
      <c r="B44" s="845"/>
      <c r="C44" s="845"/>
      <c r="D44" s="845"/>
      <c r="E44" s="203">
        <v>651.37</v>
      </c>
      <c r="F44" s="203">
        <f>F28+F26+F24+H8*7.0795*10000</f>
        <v>45612247.059132457</v>
      </c>
    </row>
    <row r="45" spans="1:6">
      <c r="E45" s="110">
        <f>E44*7.0795</f>
        <v>4611.3739150000001</v>
      </c>
    </row>
  </sheetData>
  <mergeCells count="19">
    <mergeCell ref="F1:F2"/>
    <mergeCell ref="F3:F23"/>
    <mergeCell ref="F24:F25"/>
    <mergeCell ref="F26:F27"/>
    <mergeCell ref="F28:F43"/>
    <mergeCell ref="A1:E1"/>
    <mergeCell ref="B44:D44"/>
    <mergeCell ref="A3:A9"/>
    <mergeCell ref="A10:A16"/>
    <mergeCell ref="A17:A23"/>
    <mergeCell ref="A24:A25"/>
    <mergeCell ref="A26:A27"/>
    <mergeCell ref="A28:A43"/>
    <mergeCell ref="E3:E9"/>
    <mergeCell ref="E10:E16"/>
    <mergeCell ref="E17:E23"/>
    <mergeCell ref="E24:E25"/>
    <mergeCell ref="E26:E27"/>
    <mergeCell ref="E28:E43"/>
  </mergeCells>
  <phoneticPr fontId="92" type="noConversion"/>
  <pageMargins left="0.75" right="0.75" top="1" bottom="1" header="0.5" footer="0.5"/>
  <legacy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G12"/>
  <sheetViews>
    <sheetView workbookViewId="0">
      <selection activeCell="G11" sqref="G11"/>
    </sheetView>
  </sheetViews>
  <sheetFormatPr defaultColWidth="8.875" defaultRowHeight="13.5"/>
  <cols>
    <col min="1" max="1" width="17.375" style="110" customWidth="1"/>
    <col min="2" max="2" width="16.875" style="110" customWidth="1"/>
    <col min="3" max="4" width="8.875" style="110"/>
    <col min="5" max="5" width="12.5" style="110" customWidth="1"/>
    <col min="6" max="6" width="15.625" style="110" customWidth="1"/>
    <col min="7" max="16384" width="8.875" style="110"/>
  </cols>
  <sheetData>
    <row r="1" spans="1:7" ht="30" customHeight="1">
      <c r="A1" s="845" t="s">
        <v>2</v>
      </c>
      <c r="B1" s="845" t="s">
        <v>365</v>
      </c>
      <c r="C1" s="845"/>
      <c r="D1" s="845"/>
      <c r="E1" s="845"/>
      <c r="F1" s="203" t="s">
        <v>12</v>
      </c>
    </row>
    <row r="2" spans="1:7" ht="27">
      <c r="A2" s="845"/>
      <c r="B2" s="199" t="s">
        <v>683</v>
      </c>
      <c r="C2" s="199" t="s">
        <v>684</v>
      </c>
      <c r="D2" s="199" t="s">
        <v>685</v>
      </c>
      <c r="E2" s="199" t="s">
        <v>686</v>
      </c>
      <c r="F2" s="203" t="s">
        <v>687</v>
      </c>
    </row>
    <row r="3" spans="1:7">
      <c r="A3" s="871" t="s">
        <v>106</v>
      </c>
      <c r="B3" s="203" t="s">
        <v>688</v>
      </c>
      <c r="C3" s="203" t="s">
        <v>689</v>
      </c>
      <c r="D3" s="203" t="s">
        <v>690</v>
      </c>
      <c r="E3" s="203">
        <v>34.92</v>
      </c>
      <c r="F3" s="203"/>
    </row>
    <row r="4" spans="1:7">
      <c r="A4" s="872"/>
      <c r="B4" s="203" t="s">
        <v>691</v>
      </c>
      <c r="C4" s="203" t="s">
        <v>689</v>
      </c>
      <c r="D4" s="203" t="s">
        <v>690</v>
      </c>
      <c r="E4" s="203">
        <v>15.67</v>
      </c>
      <c r="F4" s="203"/>
    </row>
    <row r="5" spans="1:7">
      <c r="A5" s="872"/>
      <c r="B5" s="203" t="s">
        <v>692</v>
      </c>
      <c r="C5" s="203" t="s">
        <v>689</v>
      </c>
      <c r="D5" s="203" t="s">
        <v>690</v>
      </c>
      <c r="E5" s="203">
        <v>31.69</v>
      </c>
      <c r="F5" s="203"/>
    </row>
    <row r="6" spans="1:7">
      <c r="A6" s="872"/>
      <c r="B6" s="203" t="s">
        <v>693</v>
      </c>
      <c r="C6" s="203" t="s">
        <v>689</v>
      </c>
      <c r="D6" s="203" t="s">
        <v>690</v>
      </c>
      <c r="E6" s="203">
        <v>16.5</v>
      </c>
      <c r="F6" s="203"/>
    </row>
    <row r="7" spans="1:7">
      <c r="A7" s="872"/>
      <c r="B7" s="203" t="s">
        <v>694</v>
      </c>
      <c r="C7" s="203" t="s">
        <v>689</v>
      </c>
      <c r="D7" s="203" t="s">
        <v>690</v>
      </c>
      <c r="E7" s="203">
        <v>8.6</v>
      </c>
      <c r="F7" s="203"/>
    </row>
    <row r="8" spans="1:7">
      <c r="A8" s="873"/>
      <c r="B8" s="203" t="s">
        <v>695</v>
      </c>
      <c r="C8" s="203" t="s">
        <v>689</v>
      </c>
      <c r="D8" s="203" t="s">
        <v>690</v>
      </c>
      <c r="E8" s="203">
        <v>5.0199999999999996</v>
      </c>
      <c r="F8" s="203"/>
    </row>
    <row r="9" spans="1:7">
      <c r="A9" s="203" t="s">
        <v>182</v>
      </c>
      <c r="B9" s="845"/>
      <c r="C9" s="845"/>
      <c r="D9" s="845"/>
      <c r="E9" s="203">
        <v>112.4</v>
      </c>
      <c r="F9" s="203"/>
    </row>
    <row r="10" spans="1:7">
      <c r="F10" s="379" t="s">
        <v>3066</v>
      </c>
    </row>
    <row r="11" spans="1:7">
      <c r="E11" s="110">
        <v>749</v>
      </c>
      <c r="F11" s="110">
        <v>37</v>
      </c>
      <c r="G11" s="110">
        <f>E11-F11</f>
        <v>712</v>
      </c>
    </row>
    <row r="12" spans="1:7">
      <c r="E12" s="110">
        <f>E9/E11</f>
        <v>0.1500667556742323</v>
      </c>
    </row>
  </sheetData>
  <mergeCells count="4">
    <mergeCell ref="B1:E1"/>
    <mergeCell ref="B9:D9"/>
    <mergeCell ref="A1:A2"/>
    <mergeCell ref="A3:A8"/>
  </mergeCells>
  <phoneticPr fontId="92" type="noConversion"/>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A1:G46"/>
  <sheetViews>
    <sheetView topLeftCell="A37" workbookViewId="0">
      <selection activeCell="E19" sqref="E19"/>
    </sheetView>
  </sheetViews>
  <sheetFormatPr defaultColWidth="8.875" defaultRowHeight="13.5"/>
  <cols>
    <col min="1" max="1" width="15.625" style="110" customWidth="1"/>
    <col min="2" max="3" width="18.875" style="110" customWidth="1"/>
    <col min="4" max="4" width="15.875" style="110" customWidth="1"/>
    <col min="5" max="5" width="16.875" style="110" customWidth="1"/>
    <col min="6" max="6" width="15.125" style="110" customWidth="1"/>
    <col min="7" max="7" width="15.375" style="110" customWidth="1"/>
  </cols>
  <sheetData>
    <row r="1" spans="1:7" ht="15">
      <c r="A1" s="216" t="s">
        <v>696</v>
      </c>
      <c r="B1" s="216" t="s">
        <v>697</v>
      </c>
      <c r="C1" s="217" t="s">
        <v>698</v>
      </c>
      <c r="D1" s="218" t="s">
        <v>699</v>
      </c>
      <c r="E1" s="217" t="s">
        <v>698</v>
      </c>
      <c r="F1" s="219" t="s">
        <v>700</v>
      </c>
      <c r="G1" s="110" t="s">
        <v>672</v>
      </c>
    </row>
    <row r="2" spans="1:7" ht="15">
      <c r="A2" s="220">
        <v>20190704</v>
      </c>
      <c r="B2" s="221">
        <v>355051.27</v>
      </c>
      <c r="C2" s="222">
        <f t="shared" ref="C2:C44" si="0">B2/2</f>
        <v>177525.63500000001</v>
      </c>
      <c r="D2" s="223">
        <v>4030011379</v>
      </c>
      <c r="E2" s="224">
        <f t="shared" ref="E2:E44" si="1">B2-C2</f>
        <v>177525.63500000001</v>
      </c>
      <c r="F2" s="225">
        <v>4030012528</v>
      </c>
    </row>
    <row r="3" spans="1:7" ht="15">
      <c r="A3" s="220">
        <v>20190709</v>
      </c>
      <c r="B3" s="221">
        <v>235701.24</v>
      </c>
      <c r="C3" s="222">
        <f t="shared" si="0"/>
        <v>117850.62</v>
      </c>
      <c r="D3" s="223">
        <v>4030011383</v>
      </c>
      <c r="E3" s="224">
        <f t="shared" si="1"/>
        <v>117850.62</v>
      </c>
      <c r="F3" s="225">
        <v>4030012529</v>
      </c>
    </row>
    <row r="4" spans="1:7" ht="15">
      <c r="A4" s="220">
        <v>20190718</v>
      </c>
      <c r="B4" s="221">
        <v>186687.65</v>
      </c>
      <c r="C4" s="222">
        <f t="shared" si="0"/>
        <v>93343.824999999997</v>
      </c>
      <c r="D4" s="223">
        <v>4030011441</v>
      </c>
      <c r="E4" s="224">
        <f t="shared" si="1"/>
        <v>93343.824999999997</v>
      </c>
      <c r="F4" s="225">
        <v>4030012530</v>
      </c>
    </row>
    <row r="5" spans="1:7" ht="15">
      <c r="A5" s="220">
        <v>20190730</v>
      </c>
      <c r="B5" s="221">
        <v>77504.91</v>
      </c>
      <c r="C5" s="222">
        <f t="shared" si="0"/>
        <v>38752.455000000002</v>
      </c>
      <c r="D5" s="223">
        <v>4030011583</v>
      </c>
      <c r="E5" s="224">
        <f t="shared" si="1"/>
        <v>38752.455000000002</v>
      </c>
      <c r="F5" s="225">
        <v>4030012531</v>
      </c>
    </row>
    <row r="6" spans="1:7" ht="15">
      <c r="A6" s="220">
        <v>20190809</v>
      </c>
      <c r="B6" s="221">
        <v>397265.14</v>
      </c>
      <c r="C6" s="222">
        <f t="shared" si="0"/>
        <v>198632.57</v>
      </c>
      <c r="D6" s="223">
        <v>4020001818</v>
      </c>
      <c r="E6" s="224">
        <f t="shared" si="1"/>
        <v>198632.57</v>
      </c>
      <c r="F6" s="225">
        <v>4030012526</v>
      </c>
    </row>
    <row r="7" spans="1:7" ht="15">
      <c r="A7" s="220">
        <v>20190828</v>
      </c>
      <c r="B7" s="221">
        <v>141756.03</v>
      </c>
      <c r="C7" s="222">
        <f t="shared" si="0"/>
        <v>70878.014999999999</v>
      </c>
      <c r="D7" s="874">
        <v>4030011869</v>
      </c>
      <c r="E7" s="224">
        <f t="shared" si="1"/>
        <v>70878.014999999999</v>
      </c>
      <c r="F7" s="876">
        <v>4030012536</v>
      </c>
    </row>
    <row r="8" spans="1:7" ht="15">
      <c r="A8" s="220">
        <v>20190828</v>
      </c>
      <c r="B8" s="221">
        <v>137370.51999999999</v>
      </c>
      <c r="C8" s="222">
        <f t="shared" si="0"/>
        <v>68685.259999999995</v>
      </c>
      <c r="D8" s="875"/>
      <c r="E8" s="224">
        <f t="shared" si="1"/>
        <v>68685.259999999995</v>
      </c>
      <c r="F8" s="877"/>
    </row>
    <row r="9" spans="1:7" ht="15">
      <c r="A9" s="220">
        <v>20190917</v>
      </c>
      <c r="B9" s="221">
        <v>333242.84000000003</v>
      </c>
      <c r="C9" s="222">
        <f t="shared" si="0"/>
        <v>166621.42000000001</v>
      </c>
      <c r="D9" s="223">
        <v>4030011847</v>
      </c>
      <c r="E9" s="224">
        <f t="shared" si="1"/>
        <v>166621.42000000001</v>
      </c>
      <c r="F9" s="225">
        <v>4030012535</v>
      </c>
    </row>
    <row r="10" spans="1:7" ht="15">
      <c r="A10" s="220">
        <v>20190920</v>
      </c>
      <c r="B10" s="221">
        <v>132452.23000000001</v>
      </c>
      <c r="C10" s="222">
        <f t="shared" si="0"/>
        <v>66226.115000000005</v>
      </c>
      <c r="D10" s="223">
        <v>4030009403</v>
      </c>
      <c r="E10" s="224">
        <f t="shared" si="1"/>
        <v>66226.115000000005</v>
      </c>
      <c r="F10" s="225">
        <v>4030012527</v>
      </c>
    </row>
    <row r="11" spans="1:7" ht="15">
      <c r="A11" s="220">
        <v>20191008</v>
      </c>
      <c r="B11" s="221">
        <v>259605.3</v>
      </c>
      <c r="C11" s="222">
        <f t="shared" si="0"/>
        <v>129802.65</v>
      </c>
      <c r="D11" s="223">
        <v>4030011796</v>
      </c>
      <c r="E11" s="224">
        <f t="shared" si="1"/>
        <v>129802.65</v>
      </c>
      <c r="F11" s="225">
        <v>4030012534</v>
      </c>
    </row>
    <row r="12" spans="1:7" ht="15">
      <c r="A12" s="220">
        <v>20191015</v>
      </c>
      <c r="B12" s="221">
        <v>274558.28000000003</v>
      </c>
      <c r="C12" s="222">
        <f t="shared" si="0"/>
        <v>137279.14000000001</v>
      </c>
      <c r="D12" s="226"/>
      <c r="E12" s="224">
        <f t="shared" si="1"/>
        <v>137279.14000000001</v>
      </c>
      <c r="F12" s="225">
        <v>4030012541</v>
      </c>
    </row>
    <row r="13" spans="1:7" ht="15">
      <c r="A13" s="220">
        <v>20191021</v>
      </c>
      <c r="B13" s="221">
        <v>437069.28</v>
      </c>
      <c r="C13" s="222">
        <f t="shared" si="0"/>
        <v>218534.64</v>
      </c>
      <c r="D13" s="223">
        <v>4030012045</v>
      </c>
      <c r="E13" s="224">
        <f t="shared" si="1"/>
        <v>218534.64</v>
      </c>
      <c r="F13" s="225">
        <v>4030012538</v>
      </c>
    </row>
    <row r="14" spans="1:7" ht="15">
      <c r="A14" s="220">
        <v>20191029</v>
      </c>
      <c r="B14" s="221">
        <v>160213.20000000001</v>
      </c>
      <c r="C14" s="222">
        <f t="shared" si="0"/>
        <v>80106.600000000006</v>
      </c>
      <c r="D14" s="223">
        <v>4030012095</v>
      </c>
      <c r="E14" s="224">
        <f t="shared" si="1"/>
        <v>80106.600000000006</v>
      </c>
      <c r="F14" s="225">
        <v>4030012539</v>
      </c>
    </row>
    <row r="15" spans="1:7" ht="15">
      <c r="A15" s="220">
        <v>20191105</v>
      </c>
      <c r="B15" s="221">
        <v>132913.25</v>
      </c>
      <c r="C15" s="222">
        <f t="shared" si="0"/>
        <v>66456.625</v>
      </c>
      <c r="D15" s="223">
        <v>4030011694</v>
      </c>
      <c r="E15" s="224">
        <f t="shared" si="1"/>
        <v>66456.625</v>
      </c>
      <c r="F15" s="225">
        <v>4030012532</v>
      </c>
    </row>
    <row r="16" spans="1:7" ht="15">
      <c r="A16" s="220">
        <v>20191112</v>
      </c>
      <c r="B16" s="221">
        <v>193471.57</v>
      </c>
      <c r="C16" s="222">
        <f t="shared" si="0"/>
        <v>96735.785000000003</v>
      </c>
      <c r="D16" s="223">
        <v>4030012096</v>
      </c>
      <c r="E16" s="224">
        <f t="shared" si="1"/>
        <v>96735.785000000003</v>
      </c>
      <c r="F16" s="225">
        <v>4030012540</v>
      </c>
    </row>
    <row r="17" spans="1:6" ht="15">
      <c r="A17" s="220">
        <v>20191121</v>
      </c>
      <c r="B17" s="221">
        <v>173602.96</v>
      </c>
      <c r="C17" s="222">
        <f t="shared" si="0"/>
        <v>86801.48</v>
      </c>
      <c r="D17" s="223">
        <v>4030011760</v>
      </c>
      <c r="E17" s="224">
        <f t="shared" si="1"/>
        <v>86801.48</v>
      </c>
      <c r="F17" s="225">
        <v>4030012533</v>
      </c>
    </row>
    <row r="18" spans="1:6" ht="15">
      <c r="A18" s="220">
        <v>20191209</v>
      </c>
      <c r="B18" s="221">
        <v>162397.29999999999</v>
      </c>
      <c r="C18" s="222">
        <f t="shared" si="0"/>
        <v>81198.649999999994</v>
      </c>
      <c r="D18" s="874">
        <v>4030012240</v>
      </c>
      <c r="E18" s="224">
        <f t="shared" si="1"/>
        <v>81198.649999999994</v>
      </c>
      <c r="F18" s="876">
        <v>4030012542</v>
      </c>
    </row>
    <row r="19" spans="1:6" ht="15">
      <c r="A19" s="220">
        <v>20191209</v>
      </c>
      <c r="B19" s="221">
        <v>19703.34</v>
      </c>
      <c r="C19" s="222">
        <f t="shared" si="0"/>
        <v>9851.67</v>
      </c>
      <c r="D19" s="879"/>
      <c r="E19" s="224">
        <f t="shared" si="1"/>
        <v>9851.67</v>
      </c>
      <c r="F19" s="878"/>
    </row>
    <row r="20" spans="1:6" ht="15">
      <c r="A20" s="220">
        <v>20191209</v>
      </c>
      <c r="B20" s="221">
        <v>122863.36</v>
      </c>
      <c r="C20" s="222">
        <f t="shared" si="0"/>
        <v>61431.68</v>
      </c>
      <c r="D20" s="875"/>
      <c r="E20" s="224">
        <f t="shared" si="1"/>
        <v>61431.68</v>
      </c>
      <c r="F20" s="877"/>
    </row>
    <row r="21" spans="1:6" ht="15">
      <c r="A21" s="220">
        <v>20191217</v>
      </c>
      <c r="B21" s="221">
        <v>186683.1</v>
      </c>
      <c r="C21" s="222">
        <f t="shared" si="0"/>
        <v>93341.55</v>
      </c>
      <c r="D21" s="223">
        <v>4030012241</v>
      </c>
      <c r="E21" s="224">
        <f t="shared" si="1"/>
        <v>93341.55</v>
      </c>
      <c r="F21" s="225">
        <v>4030012543</v>
      </c>
    </row>
    <row r="22" spans="1:6" ht="15">
      <c r="A22" s="220">
        <v>20191231</v>
      </c>
      <c r="B22" s="221">
        <v>319723.48</v>
      </c>
      <c r="C22" s="222">
        <f t="shared" si="0"/>
        <v>159861.74</v>
      </c>
      <c r="D22" s="223">
        <v>4030012245</v>
      </c>
      <c r="E22" s="224">
        <f t="shared" si="1"/>
        <v>159861.74</v>
      </c>
      <c r="F22" s="225">
        <v>4030012546</v>
      </c>
    </row>
    <row r="23" spans="1:6" ht="15">
      <c r="A23" s="220">
        <v>20200107</v>
      </c>
      <c r="B23" s="221">
        <v>154953.91</v>
      </c>
      <c r="C23" s="222">
        <f t="shared" si="0"/>
        <v>77476.955000000002</v>
      </c>
      <c r="D23" s="223">
        <v>4030012243</v>
      </c>
      <c r="E23" s="224">
        <f t="shared" si="1"/>
        <v>77476.955000000002</v>
      </c>
      <c r="F23" s="225">
        <v>4030012545</v>
      </c>
    </row>
    <row r="24" spans="1:6" ht="15">
      <c r="A24" s="220">
        <v>20200115</v>
      </c>
      <c r="B24" s="221">
        <v>190095.83</v>
      </c>
      <c r="C24" s="222">
        <f t="shared" si="0"/>
        <v>95047.914999999994</v>
      </c>
      <c r="D24" s="223">
        <v>4030012242</v>
      </c>
      <c r="E24" s="224">
        <f t="shared" si="1"/>
        <v>95047.914999999994</v>
      </c>
      <c r="F24" s="225">
        <v>4030012544</v>
      </c>
    </row>
    <row r="25" spans="1:6" ht="15">
      <c r="A25" s="220">
        <v>20200119</v>
      </c>
      <c r="B25" s="221">
        <v>112251.85</v>
      </c>
      <c r="C25" s="222">
        <f t="shared" si="0"/>
        <v>56125.925000000003</v>
      </c>
      <c r="D25" s="223">
        <v>4030012331</v>
      </c>
      <c r="E25" s="224">
        <f t="shared" si="1"/>
        <v>56125.925000000003</v>
      </c>
      <c r="F25" s="225">
        <v>4030012547</v>
      </c>
    </row>
    <row r="26" spans="1:6" ht="15">
      <c r="A26" s="220">
        <v>20200218</v>
      </c>
      <c r="B26" s="221">
        <v>199105.01</v>
      </c>
      <c r="C26" s="222">
        <f t="shared" si="0"/>
        <v>99552.505000000005</v>
      </c>
      <c r="D26" s="874">
        <v>4030012033</v>
      </c>
      <c r="E26" s="224">
        <f t="shared" si="1"/>
        <v>99552.505000000005</v>
      </c>
      <c r="F26" s="876">
        <v>4030012537</v>
      </c>
    </row>
    <row r="27" spans="1:6" ht="15">
      <c r="A27" s="220">
        <v>20200218</v>
      </c>
      <c r="B27" s="221">
        <v>231984.28</v>
      </c>
      <c r="C27" s="222">
        <f t="shared" si="0"/>
        <v>115992.14</v>
      </c>
      <c r="D27" s="879"/>
      <c r="E27" s="224">
        <f t="shared" si="1"/>
        <v>115992.14</v>
      </c>
      <c r="F27" s="878"/>
    </row>
    <row r="28" spans="1:6" ht="15">
      <c r="A28" s="220">
        <v>20200218</v>
      </c>
      <c r="B28" s="221">
        <v>15576.67</v>
      </c>
      <c r="C28" s="222">
        <f t="shared" si="0"/>
        <v>7788.335</v>
      </c>
      <c r="D28" s="879"/>
      <c r="E28" s="224">
        <f t="shared" si="1"/>
        <v>7788.335</v>
      </c>
      <c r="F28" s="878"/>
    </row>
    <row r="29" spans="1:6" ht="15">
      <c r="A29" s="220">
        <v>20200218</v>
      </c>
      <c r="B29" s="221">
        <v>29809.200000000001</v>
      </c>
      <c r="C29" s="222">
        <f t="shared" si="0"/>
        <v>14904.6</v>
      </c>
      <c r="D29" s="879"/>
      <c r="E29" s="224">
        <f t="shared" si="1"/>
        <v>14904.6</v>
      </c>
      <c r="F29" s="878"/>
    </row>
    <row r="30" spans="1:6" ht="15">
      <c r="A30" s="220">
        <v>20200218</v>
      </c>
      <c r="B30" s="221">
        <v>270725.44</v>
      </c>
      <c r="C30" s="222">
        <f t="shared" si="0"/>
        <v>135362.72</v>
      </c>
      <c r="D30" s="875"/>
      <c r="E30" s="224">
        <f t="shared" si="1"/>
        <v>135362.72</v>
      </c>
      <c r="F30" s="877"/>
    </row>
    <row r="31" spans="1:6" ht="15">
      <c r="A31" s="220">
        <v>20200224</v>
      </c>
      <c r="B31" s="221">
        <v>247924.12</v>
      </c>
      <c r="C31" s="222">
        <f t="shared" si="0"/>
        <v>123962.06</v>
      </c>
      <c r="D31" s="223">
        <v>4030012436</v>
      </c>
      <c r="E31" s="224">
        <f t="shared" si="1"/>
        <v>123962.06</v>
      </c>
      <c r="F31" s="225">
        <v>4030012549</v>
      </c>
    </row>
    <row r="32" spans="1:6" ht="15">
      <c r="A32" s="220">
        <v>20200304</v>
      </c>
      <c r="B32" s="221">
        <v>190904.42</v>
      </c>
      <c r="C32" s="222">
        <f t="shared" si="0"/>
        <v>95452.21</v>
      </c>
      <c r="D32" s="223">
        <v>4030012365</v>
      </c>
      <c r="E32" s="224">
        <f t="shared" si="1"/>
        <v>95452.21</v>
      </c>
      <c r="F32" s="225">
        <v>4030012548</v>
      </c>
    </row>
    <row r="33" spans="1:6" ht="15">
      <c r="A33" s="220">
        <v>20200309</v>
      </c>
      <c r="B33" s="221">
        <v>162930.20000000001</v>
      </c>
      <c r="C33" s="222">
        <f t="shared" si="0"/>
        <v>81465.100000000006</v>
      </c>
      <c r="D33" s="223">
        <v>4030012507</v>
      </c>
      <c r="E33" s="224">
        <f t="shared" si="1"/>
        <v>81465.100000000006</v>
      </c>
      <c r="F33" s="225">
        <v>4030012550</v>
      </c>
    </row>
    <row r="34" spans="1:6" ht="15">
      <c r="A34" s="220">
        <v>20200317</v>
      </c>
      <c r="B34" s="221">
        <v>438237.71</v>
      </c>
      <c r="C34" s="222">
        <f t="shared" si="0"/>
        <v>219118.85500000001</v>
      </c>
      <c r="D34" s="223">
        <v>4030012509</v>
      </c>
      <c r="E34" s="224">
        <f t="shared" si="1"/>
        <v>219118.85500000001</v>
      </c>
      <c r="F34" s="225">
        <v>4030012551</v>
      </c>
    </row>
    <row r="35" spans="1:6" ht="15">
      <c r="A35" s="220">
        <v>20200331</v>
      </c>
      <c r="B35" s="221">
        <v>656207.69999999995</v>
      </c>
      <c r="C35" s="222">
        <f t="shared" si="0"/>
        <v>328103.84999999998</v>
      </c>
      <c r="D35" s="223">
        <v>4030012510</v>
      </c>
      <c r="E35" s="224">
        <f t="shared" si="1"/>
        <v>328103.84999999998</v>
      </c>
      <c r="F35" s="225">
        <v>4030012552</v>
      </c>
    </row>
    <row r="36" spans="1:6" ht="15">
      <c r="A36" s="220">
        <v>20200506</v>
      </c>
      <c r="B36" s="221">
        <v>13500</v>
      </c>
      <c r="C36" s="222">
        <f t="shared" si="0"/>
        <v>6750</v>
      </c>
      <c r="D36" s="874">
        <v>4030012511</v>
      </c>
      <c r="E36" s="224">
        <f t="shared" si="1"/>
        <v>6750</v>
      </c>
      <c r="F36" s="876">
        <v>4030012553</v>
      </c>
    </row>
    <row r="37" spans="1:6" ht="15">
      <c r="A37" s="220">
        <v>20200506</v>
      </c>
      <c r="B37" s="221">
        <v>231641.25</v>
      </c>
      <c r="C37" s="222">
        <f t="shared" si="0"/>
        <v>115820.625</v>
      </c>
      <c r="D37" s="875"/>
      <c r="E37" s="224">
        <f t="shared" si="1"/>
        <v>115820.625</v>
      </c>
      <c r="F37" s="877"/>
    </row>
    <row r="38" spans="1:6" ht="15">
      <c r="A38" s="220">
        <v>20200515</v>
      </c>
      <c r="B38" s="221">
        <v>176672.49</v>
      </c>
      <c r="C38" s="222">
        <f t="shared" si="0"/>
        <v>88336.244999999995</v>
      </c>
      <c r="D38" s="223">
        <v>4030012512</v>
      </c>
      <c r="E38" s="224">
        <f t="shared" si="1"/>
        <v>88336.244999999995</v>
      </c>
      <c r="F38" s="225">
        <v>4030012554</v>
      </c>
    </row>
    <row r="39" spans="1:6" ht="15">
      <c r="A39" s="220">
        <v>20200522</v>
      </c>
      <c r="B39" s="221">
        <v>238008.78</v>
      </c>
      <c r="C39" s="222">
        <f t="shared" si="0"/>
        <v>119004.39</v>
      </c>
      <c r="D39" s="874">
        <v>4030012513</v>
      </c>
      <c r="E39" s="224">
        <f t="shared" si="1"/>
        <v>119004.39</v>
      </c>
      <c r="F39" s="876">
        <v>4030012555</v>
      </c>
    </row>
    <row r="40" spans="1:6" ht="15">
      <c r="A40" s="220">
        <v>20200522</v>
      </c>
      <c r="B40" s="221">
        <v>31767.07</v>
      </c>
      <c r="C40" s="222">
        <f t="shared" si="0"/>
        <v>15883.535</v>
      </c>
      <c r="D40" s="875"/>
      <c r="E40" s="224">
        <f t="shared" si="1"/>
        <v>15883.535</v>
      </c>
      <c r="F40" s="877"/>
    </row>
    <row r="41" spans="1:6" ht="15">
      <c r="A41" s="220">
        <v>20200601</v>
      </c>
      <c r="B41" s="221">
        <v>478547.26</v>
      </c>
      <c r="C41" s="222">
        <f t="shared" si="0"/>
        <v>239273.63</v>
      </c>
      <c r="D41" s="223">
        <v>4030012523</v>
      </c>
      <c r="E41" s="224">
        <f t="shared" si="1"/>
        <v>239273.63</v>
      </c>
      <c r="F41" s="225">
        <v>4030012557</v>
      </c>
    </row>
    <row r="42" spans="1:6" ht="15">
      <c r="A42" s="220">
        <v>20200616</v>
      </c>
      <c r="B42" s="221">
        <v>666860.1</v>
      </c>
      <c r="C42" s="222">
        <f t="shared" si="0"/>
        <v>333430.05</v>
      </c>
      <c r="D42" s="874">
        <v>4030012522</v>
      </c>
      <c r="E42" s="224">
        <f t="shared" si="1"/>
        <v>333430.05</v>
      </c>
      <c r="F42" s="876">
        <v>4030012556</v>
      </c>
    </row>
    <row r="43" spans="1:6" ht="15">
      <c r="A43" s="220">
        <v>20200616</v>
      </c>
      <c r="B43" s="221">
        <v>8050</v>
      </c>
      <c r="C43" s="222">
        <f t="shared" si="0"/>
        <v>4025</v>
      </c>
      <c r="D43" s="875"/>
      <c r="E43" s="224">
        <f t="shared" si="1"/>
        <v>4025</v>
      </c>
      <c r="F43" s="877"/>
    </row>
    <row r="44" spans="1:6" ht="15">
      <c r="A44" s="220">
        <v>20200630</v>
      </c>
      <c r="B44" s="221">
        <v>559747.02</v>
      </c>
      <c r="C44" s="222">
        <f t="shared" si="0"/>
        <v>279873.51</v>
      </c>
      <c r="D44" s="223">
        <v>4030012525</v>
      </c>
      <c r="E44" s="224">
        <f t="shared" si="1"/>
        <v>279873.51</v>
      </c>
      <c r="F44" s="225">
        <v>4030012558</v>
      </c>
    </row>
    <row r="45" spans="1:6" ht="15">
      <c r="A45" s="220"/>
      <c r="B45" s="227">
        <f>C45+E45</f>
        <v>9745336.5600000005</v>
      </c>
      <c r="C45" s="227">
        <f>SUM(C2:C44)</f>
        <v>4872668.28</v>
      </c>
      <c r="D45" s="223"/>
      <c r="E45" s="227">
        <f>SUM(E2:E44)</f>
        <v>4872668.28</v>
      </c>
      <c r="F45" s="228"/>
    </row>
    <row r="46" spans="1:6">
      <c r="B46" s="110">
        <f>B45*7</f>
        <v>68217355.920000002</v>
      </c>
    </row>
  </sheetData>
  <autoFilter ref="A1:G45"/>
  <mergeCells count="12">
    <mergeCell ref="D42:D43"/>
    <mergeCell ref="F7:F8"/>
    <mergeCell ref="F18:F20"/>
    <mergeCell ref="F26:F30"/>
    <mergeCell ref="F36:F37"/>
    <mergeCell ref="F39:F40"/>
    <mergeCell ref="F42:F43"/>
    <mergeCell ref="D7:D8"/>
    <mergeCell ref="D18:D20"/>
    <mergeCell ref="D26:D30"/>
    <mergeCell ref="D36:D37"/>
    <mergeCell ref="D39:D40"/>
  </mergeCells>
  <phoneticPr fontId="92" type="noConversion"/>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dimension ref="A1:F23"/>
  <sheetViews>
    <sheetView workbookViewId="0">
      <selection activeCell="C13" sqref="C13"/>
    </sheetView>
  </sheetViews>
  <sheetFormatPr defaultColWidth="8.875" defaultRowHeight="14.25"/>
  <cols>
    <col min="1" max="1" width="28.125" style="123" customWidth="1"/>
    <col min="2" max="2" width="16.125" style="123" customWidth="1"/>
    <col min="3" max="3" width="19.5" style="123" customWidth="1"/>
    <col min="4" max="5" width="12.875" style="123" customWidth="1"/>
    <col min="6" max="6" width="16.875" style="206"/>
    <col min="7" max="7" width="10.625" style="123"/>
    <col min="8" max="16384" width="8.875" style="123"/>
  </cols>
  <sheetData>
    <row r="1" spans="1:6" ht="30" customHeight="1">
      <c r="A1" s="880" t="s">
        <v>2</v>
      </c>
      <c r="B1" s="880" t="s">
        <v>365</v>
      </c>
      <c r="C1" s="880"/>
      <c r="D1" s="880"/>
      <c r="E1" s="880"/>
      <c r="F1" s="882" t="s">
        <v>672</v>
      </c>
    </row>
    <row r="2" spans="1:6" ht="54" customHeight="1">
      <c r="A2" s="880"/>
      <c r="B2" s="207" t="s">
        <v>367</v>
      </c>
      <c r="C2" s="207" t="s">
        <v>332</v>
      </c>
      <c r="D2" s="207" t="s">
        <v>368</v>
      </c>
      <c r="E2" s="207" t="s">
        <v>701</v>
      </c>
      <c r="F2" s="882"/>
    </row>
    <row r="3" spans="1:6" ht="20.100000000000001" customHeight="1">
      <c r="A3" s="209" t="s">
        <v>108</v>
      </c>
      <c r="B3" s="209" t="s">
        <v>702</v>
      </c>
      <c r="C3" s="209" t="s">
        <v>703</v>
      </c>
      <c r="D3" s="209" t="s">
        <v>372</v>
      </c>
      <c r="E3" s="210">
        <v>4.95</v>
      </c>
      <c r="F3" s="208">
        <v>495024.94</v>
      </c>
    </row>
    <row r="4" spans="1:6" ht="20.100000000000001" customHeight="1">
      <c r="A4" s="209" t="s">
        <v>108</v>
      </c>
      <c r="B4" s="209" t="s">
        <v>704</v>
      </c>
      <c r="C4" s="209" t="s">
        <v>703</v>
      </c>
      <c r="D4" s="209" t="s">
        <v>372</v>
      </c>
      <c r="E4" s="210">
        <v>2.82</v>
      </c>
      <c r="F4" s="211">
        <v>282222.46999999997</v>
      </c>
    </row>
    <row r="5" spans="1:6" ht="20.100000000000001" customHeight="1">
      <c r="A5" s="209" t="s">
        <v>108</v>
      </c>
      <c r="B5" s="209" t="s">
        <v>705</v>
      </c>
      <c r="C5" s="209" t="s">
        <v>703</v>
      </c>
      <c r="D5" s="209" t="s">
        <v>372</v>
      </c>
      <c r="E5" s="210">
        <v>4.6900000000000004</v>
      </c>
      <c r="F5" s="211">
        <v>469734</v>
      </c>
    </row>
    <row r="6" spans="1:6" ht="20.100000000000001" customHeight="1">
      <c r="A6" s="209" t="s">
        <v>108</v>
      </c>
      <c r="B6" s="209" t="s">
        <v>706</v>
      </c>
      <c r="C6" s="209" t="s">
        <v>703</v>
      </c>
      <c r="D6" s="209" t="s">
        <v>372</v>
      </c>
      <c r="E6" s="210">
        <v>4.3099999999999996</v>
      </c>
      <c r="F6" s="211">
        <v>431372.76</v>
      </c>
    </row>
    <row r="7" spans="1:6" ht="20.100000000000001" customHeight="1">
      <c r="A7" s="209" t="s">
        <v>108</v>
      </c>
      <c r="B7" s="209" t="s">
        <v>707</v>
      </c>
      <c r="C7" s="209" t="s">
        <v>703</v>
      </c>
      <c r="D7" s="209" t="s">
        <v>372</v>
      </c>
      <c r="E7" s="210">
        <v>7.48</v>
      </c>
      <c r="F7" s="211">
        <v>748183.47</v>
      </c>
    </row>
    <row r="8" spans="1:6" ht="20.100000000000001" customHeight="1">
      <c r="A8" s="209" t="s">
        <v>108</v>
      </c>
      <c r="B8" s="209" t="s">
        <v>708</v>
      </c>
      <c r="C8" s="209" t="s">
        <v>703</v>
      </c>
      <c r="D8" s="209" t="s">
        <v>372</v>
      </c>
      <c r="E8" s="210">
        <v>2.89</v>
      </c>
      <c r="F8" s="211">
        <v>288995.07</v>
      </c>
    </row>
    <row r="9" spans="1:6" ht="20.100000000000001" customHeight="1">
      <c r="A9" s="209" t="s">
        <v>108</v>
      </c>
      <c r="B9" s="209" t="s">
        <v>709</v>
      </c>
      <c r="C9" s="209" t="s">
        <v>703</v>
      </c>
      <c r="D9" s="209" t="s">
        <v>372</v>
      </c>
      <c r="E9" s="210">
        <v>4.0199999999999996</v>
      </c>
      <c r="F9" s="211">
        <v>401951.21</v>
      </c>
    </row>
    <row r="10" spans="1:6" ht="20.100000000000001" customHeight="1">
      <c r="A10" s="209" t="s">
        <v>108</v>
      </c>
      <c r="B10" s="209" t="s">
        <v>710</v>
      </c>
      <c r="C10" s="209" t="s">
        <v>703</v>
      </c>
      <c r="D10" s="209" t="s">
        <v>372</v>
      </c>
      <c r="E10" s="210">
        <v>0.95</v>
      </c>
      <c r="F10" s="211">
        <v>95195.21</v>
      </c>
    </row>
    <row r="11" spans="1:6" ht="20.100000000000001" customHeight="1">
      <c r="A11" s="209" t="s">
        <v>108</v>
      </c>
      <c r="B11" s="209" t="s">
        <v>711</v>
      </c>
      <c r="C11" s="209" t="s">
        <v>703</v>
      </c>
      <c r="D11" s="209" t="s">
        <v>372</v>
      </c>
      <c r="E11" s="210">
        <v>3.85</v>
      </c>
      <c r="F11" s="211">
        <v>384743.85</v>
      </c>
    </row>
    <row r="12" spans="1:6" ht="20.100000000000001" customHeight="1">
      <c r="A12" s="209" t="s">
        <v>108</v>
      </c>
      <c r="B12" s="209" t="s">
        <v>712</v>
      </c>
      <c r="C12" s="209" t="s">
        <v>703</v>
      </c>
      <c r="D12" s="209" t="s">
        <v>372</v>
      </c>
      <c r="E12" s="210">
        <v>1.36</v>
      </c>
      <c r="F12" s="211">
        <v>136250.56</v>
      </c>
    </row>
    <row r="13" spans="1:6" ht="20.100000000000001" customHeight="1">
      <c r="A13" s="209" t="s">
        <v>108</v>
      </c>
      <c r="B13" s="209" t="s">
        <v>713</v>
      </c>
      <c r="C13" s="209" t="s">
        <v>703</v>
      </c>
      <c r="D13" s="209" t="s">
        <v>372</v>
      </c>
      <c r="E13" s="210">
        <v>4.32</v>
      </c>
      <c r="F13" s="211">
        <v>432459.79</v>
      </c>
    </row>
    <row r="14" spans="1:6" ht="20.100000000000001" customHeight="1">
      <c r="A14" s="209" t="s">
        <v>108</v>
      </c>
      <c r="B14" s="209" t="s">
        <v>714</v>
      </c>
      <c r="C14" s="209" t="s">
        <v>703</v>
      </c>
      <c r="D14" s="209" t="s">
        <v>372</v>
      </c>
      <c r="E14" s="210">
        <v>3.02</v>
      </c>
      <c r="F14" s="211">
        <v>302094.03999999998</v>
      </c>
    </row>
    <row r="15" spans="1:6" ht="20.100000000000001" customHeight="1">
      <c r="A15" s="209" t="s">
        <v>108</v>
      </c>
      <c r="B15" s="212">
        <v>10190479</v>
      </c>
      <c r="C15" s="213" t="s">
        <v>715</v>
      </c>
      <c r="D15" s="209" t="s">
        <v>498</v>
      </c>
      <c r="E15" s="214">
        <v>0.5</v>
      </c>
      <c r="F15" s="211">
        <v>49980</v>
      </c>
    </row>
    <row r="16" spans="1:6" ht="20.100000000000001" customHeight="1">
      <c r="A16" s="209" t="s">
        <v>108</v>
      </c>
      <c r="B16" s="212">
        <v>10190479</v>
      </c>
      <c r="C16" s="213" t="s">
        <v>715</v>
      </c>
      <c r="D16" s="209" t="s">
        <v>498</v>
      </c>
      <c r="E16" s="214">
        <v>1.5</v>
      </c>
      <c r="F16" s="211">
        <v>149968</v>
      </c>
    </row>
    <row r="17" spans="1:6" ht="20.100000000000001" customHeight="1">
      <c r="A17" s="209" t="s">
        <v>108</v>
      </c>
      <c r="B17" s="212">
        <v>10190479</v>
      </c>
      <c r="C17" s="213" t="s">
        <v>715</v>
      </c>
      <c r="D17" s="209" t="s">
        <v>498</v>
      </c>
      <c r="E17" s="210">
        <v>0.75</v>
      </c>
      <c r="F17" s="211">
        <v>74968</v>
      </c>
    </row>
    <row r="18" spans="1:6" ht="20.100000000000001" customHeight="1">
      <c r="A18" s="209" t="s">
        <v>108</v>
      </c>
      <c r="B18" s="212">
        <v>10190479</v>
      </c>
      <c r="C18" s="213" t="s">
        <v>715</v>
      </c>
      <c r="D18" s="209" t="s">
        <v>498</v>
      </c>
      <c r="E18" s="210">
        <v>0.75</v>
      </c>
      <c r="F18" s="211">
        <v>74968</v>
      </c>
    </row>
    <row r="19" spans="1:6" ht="20.100000000000001" customHeight="1">
      <c r="A19" s="209" t="s">
        <v>108</v>
      </c>
      <c r="B19" s="212">
        <v>10190479</v>
      </c>
      <c r="C19" s="213" t="s">
        <v>715</v>
      </c>
      <c r="D19" s="209" t="s">
        <v>498</v>
      </c>
      <c r="E19" s="210">
        <v>3.54</v>
      </c>
      <c r="F19" s="211">
        <v>354279.08</v>
      </c>
    </row>
    <row r="20" spans="1:6" ht="20.100000000000001" customHeight="1">
      <c r="A20" s="209" t="s">
        <v>108</v>
      </c>
      <c r="B20" s="209" t="s">
        <v>716</v>
      </c>
      <c r="C20" s="213" t="s">
        <v>715</v>
      </c>
      <c r="D20" s="209" t="s">
        <v>498</v>
      </c>
      <c r="E20" s="210">
        <v>4.37</v>
      </c>
      <c r="F20" s="211">
        <v>437318.44</v>
      </c>
    </row>
    <row r="21" spans="1:6" ht="20.100000000000001" customHeight="1">
      <c r="A21" s="209" t="s">
        <v>108</v>
      </c>
      <c r="B21" s="209" t="s">
        <v>716</v>
      </c>
      <c r="C21" s="213" t="s">
        <v>715</v>
      </c>
      <c r="D21" s="209" t="s">
        <v>498</v>
      </c>
      <c r="E21" s="210">
        <v>0.11</v>
      </c>
      <c r="F21" s="211">
        <v>10462.959999999999</v>
      </c>
    </row>
    <row r="22" spans="1:6" ht="20.100000000000001" customHeight="1">
      <c r="A22" s="209" t="s">
        <v>108</v>
      </c>
      <c r="B22" s="209" t="s">
        <v>716</v>
      </c>
      <c r="C22" s="213" t="s">
        <v>715</v>
      </c>
      <c r="D22" s="209" t="s">
        <v>498</v>
      </c>
      <c r="E22" s="210">
        <v>1.34</v>
      </c>
      <c r="F22" s="211">
        <v>133718.04</v>
      </c>
    </row>
    <row r="23" spans="1:6" ht="20.100000000000001" customHeight="1">
      <c r="A23" s="209" t="s">
        <v>717</v>
      </c>
      <c r="B23" s="881"/>
      <c r="C23" s="881"/>
      <c r="D23" s="881"/>
      <c r="E23" s="210">
        <v>57.52</v>
      </c>
      <c r="F23" s="215">
        <f>SUM(F3:F22)</f>
        <v>5753889.8899999997</v>
      </c>
    </row>
  </sheetData>
  <mergeCells count="4">
    <mergeCell ref="B1:E1"/>
    <mergeCell ref="B23:D23"/>
    <mergeCell ref="A1:A2"/>
    <mergeCell ref="F1:F2"/>
  </mergeCells>
  <phoneticPr fontId="92" type="noConversion"/>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dimension ref="A1:H48"/>
  <sheetViews>
    <sheetView topLeftCell="A34" workbookViewId="0">
      <selection activeCell="B43" sqref="B43"/>
    </sheetView>
  </sheetViews>
  <sheetFormatPr defaultColWidth="8.875" defaultRowHeight="13.5"/>
  <cols>
    <col min="1" max="1" width="28.375" style="110" customWidth="1"/>
    <col min="2" max="2" width="16.5" style="110" customWidth="1"/>
    <col min="3" max="3" width="25.5" style="198" customWidth="1"/>
    <col min="4" max="4" width="22.875" style="110" customWidth="1"/>
    <col min="5" max="5" width="14.5" style="110" customWidth="1"/>
    <col min="6" max="6" width="22.875" style="110" customWidth="1"/>
  </cols>
  <sheetData>
    <row r="1" spans="1:8" ht="33.950000000000003" customHeight="1">
      <c r="A1" s="845" t="s">
        <v>2</v>
      </c>
      <c r="B1" s="845" t="s">
        <v>365</v>
      </c>
      <c r="C1" s="845"/>
      <c r="D1" s="845"/>
      <c r="E1" s="845"/>
      <c r="F1" s="846" t="s">
        <v>672</v>
      </c>
    </row>
    <row r="2" spans="1:8" ht="27">
      <c r="A2" s="845"/>
      <c r="B2" s="203" t="s">
        <v>367</v>
      </c>
      <c r="C2" s="199" t="s">
        <v>332</v>
      </c>
      <c r="D2" s="203" t="s">
        <v>368</v>
      </c>
      <c r="E2" s="199" t="s">
        <v>718</v>
      </c>
      <c r="F2" s="848"/>
    </row>
    <row r="3" spans="1:8" ht="27">
      <c r="A3" s="203" t="s">
        <v>117</v>
      </c>
      <c r="B3" s="203">
        <v>20190375</v>
      </c>
      <c r="C3" s="199" t="s">
        <v>719</v>
      </c>
      <c r="D3" s="203" t="s">
        <v>414</v>
      </c>
      <c r="E3" s="203">
        <v>0.63660000000000005</v>
      </c>
      <c r="F3" s="203">
        <v>6366</v>
      </c>
    </row>
    <row r="4" spans="1:8" ht="27">
      <c r="A4" s="203" t="s">
        <v>117</v>
      </c>
      <c r="B4" s="203">
        <v>20190068</v>
      </c>
      <c r="C4" s="199" t="s">
        <v>720</v>
      </c>
      <c r="D4" s="203" t="s">
        <v>394</v>
      </c>
      <c r="E4" s="203">
        <v>4.4960000000000004</v>
      </c>
      <c r="F4" s="203">
        <f>35980+8980</f>
        <v>44960</v>
      </c>
    </row>
    <row r="5" spans="1:8" ht="27">
      <c r="A5" s="203" t="s">
        <v>117</v>
      </c>
      <c r="B5" s="203">
        <v>20190069</v>
      </c>
      <c r="C5" s="199" t="s">
        <v>721</v>
      </c>
      <c r="D5" s="203" t="s">
        <v>394</v>
      </c>
      <c r="E5" s="203">
        <v>1.464</v>
      </c>
      <c r="F5" s="203">
        <f>11710+2930</f>
        <v>14640</v>
      </c>
    </row>
    <row r="6" spans="1:8" ht="27">
      <c r="A6" s="203" t="s">
        <v>117</v>
      </c>
      <c r="B6" s="203">
        <v>20190373</v>
      </c>
      <c r="C6" s="199" t="s">
        <v>722</v>
      </c>
      <c r="D6" s="203" t="s">
        <v>459</v>
      </c>
      <c r="E6" s="203">
        <v>1.343</v>
      </c>
      <c r="F6" s="203">
        <v>13430</v>
      </c>
    </row>
    <row r="7" spans="1:8" ht="27">
      <c r="A7" s="203" t="s">
        <v>117</v>
      </c>
      <c r="B7" s="203">
        <v>20191077</v>
      </c>
      <c r="C7" s="199" t="s">
        <v>723</v>
      </c>
      <c r="D7" s="203" t="s">
        <v>690</v>
      </c>
      <c r="E7" s="203">
        <v>1.9419999999999999</v>
      </c>
      <c r="F7" s="203">
        <v>19420</v>
      </c>
    </row>
    <row r="8" spans="1:8">
      <c r="A8" s="203" t="s">
        <v>117</v>
      </c>
      <c r="B8" s="203">
        <v>20191471</v>
      </c>
      <c r="C8" s="199" t="s">
        <v>724</v>
      </c>
      <c r="D8" s="203" t="s">
        <v>459</v>
      </c>
      <c r="E8" s="203">
        <v>1.6297999999999999</v>
      </c>
      <c r="F8" s="203">
        <v>16298</v>
      </c>
      <c r="G8" s="377">
        <v>16279</v>
      </c>
      <c r="H8">
        <f>F8-G8</f>
        <v>19</v>
      </c>
    </row>
    <row r="9" spans="1:8" ht="27">
      <c r="A9" s="203" t="s">
        <v>117</v>
      </c>
      <c r="B9" s="203">
        <v>20191472</v>
      </c>
      <c r="C9" s="199" t="s">
        <v>725</v>
      </c>
      <c r="D9" s="203" t="s">
        <v>383</v>
      </c>
      <c r="E9" s="203">
        <v>0.9</v>
      </c>
      <c r="F9" s="203">
        <v>9000</v>
      </c>
    </row>
    <row r="10" spans="1:8">
      <c r="A10" s="203" t="s">
        <v>117</v>
      </c>
      <c r="B10" s="203">
        <v>20191468</v>
      </c>
      <c r="C10" s="199" t="s">
        <v>726</v>
      </c>
      <c r="D10" s="203" t="s">
        <v>414</v>
      </c>
      <c r="E10" s="203">
        <v>7.9995000000000003</v>
      </c>
      <c r="F10" s="203">
        <v>79995</v>
      </c>
    </row>
    <row r="11" spans="1:8" ht="27">
      <c r="A11" s="203" t="s">
        <v>117</v>
      </c>
      <c r="B11" s="203">
        <v>20191064</v>
      </c>
      <c r="C11" s="199" t="s">
        <v>727</v>
      </c>
      <c r="D11" s="203" t="s">
        <v>383</v>
      </c>
      <c r="E11" s="203">
        <v>1.371</v>
      </c>
      <c r="F11" s="203">
        <v>13710</v>
      </c>
    </row>
    <row r="12" spans="1:8">
      <c r="A12" s="203" t="s">
        <v>117</v>
      </c>
      <c r="B12" s="203">
        <v>20191470</v>
      </c>
      <c r="C12" s="199" t="s">
        <v>728</v>
      </c>
      <c r="D12" s="203" t="s">
        <v>690</v>
      </c>
      <c r="E12" s="203">
        <v>0.92559999999999998</v>
      </c>
      <c r="F12" s="203">
        <v>9256</v>
      </c>
    </row>
    <row r="13" spans="1:8">
      <c r="A13" s="203" t="s">
        <v>117</v>
      </c>
      <c r="B13" s="203">
        <v>20191521</v>
      </c>
      <c r="C13" s="199" t="s">
        <v>729</v>
      </c>
      <c r="D13" s="203" t="s">
        <v>540</v>
      </c>
      <c r="E13" s="203">
        <v>0.91820000000000002</v>
      </c>
      <c r="F13" s="203">
        <v>9182</v>
      </c>
    </row>
    <row r="14" spans="1:8">
      <c r="A14" s="203" t="s">
        <v>117</v>
      </c>
      <c r="B14" s="203">
        <v>20191521</v>
      </c>
      <c r="C14" s="199" t="s">
        <v>730</v>
      </c>
      <c r="D14" s="203" t="s">
        <v>459</v>
      </c>
      <c r="E14" s="203">
        <v>0.24260000000000001</v>
      </c>
      <c r="F14" s="203">
        <v>2426</v>
      </c>
    </row>
    <row r="15" spans="1:8" ht="27">
      <c r="A15" s="203" t="s">
        <v>117</v>
      </c>
      <c r="B15" s="203">
        <v>20190530</v>
      </c>
      <c r="C15" s="199" t="s">
        <v>731</v>
      </c>
      <c r="D15" s="203" t="s">
        <v>690</v>
      </c>
      <c r="E15" s="203">
        <v>0.88480000000000003</v>
      </c>
      <c r="F15" s="203">
        <v>8848</v>
      </c>
      <c r="G15" s="377">
        <v>8529</v>
      </c>
      <c r="H15">
        <f t="shared" ref="H15:H25" si="0">F15-G15</f>
        <v>319</v>
      </c>
    </row>
    <row r="16" spans="1:8">
      <c r="A16" s="203" t="s">
        <v>117</v>
      </c>
      <c r="B16" s="203">
        <v>20190529</v>
      </c>
      <c r="C16" s="199" t="s">
        <v>732</v>
      </c>
      <c r="D16" s="203" t="s">
        <v>690</v>
      </c>
      <c r="E16" s="203">
        <v>2.2008000000000001</v>
      </c>
      <c r="F16" s="203">
        <v>22008</v>
      </c>
      <c r="G16" s="377">
        <v>21978</v>
      </c>
      <c r="H16">
        <f t="shared" si="0"/>
        <v>30</v>
      </c>
    </row>
    <row r="17" spans="1:8">
      <c r="A17" s="203" t="s">
        <v>117</v>
      </c>
      <c r="B17" s="203">
        <v>20191767</v>
      </c>
      <c r="C17" s="199" t="s">
        <v>733</v>
      </c>
      <c r="D17" s="203" t="s">
        <v>453</v>
      </c>
      <c r="E17" s="203">
        <v>3.9493999999999998</v>
      </c>
      <c r="F17" s="203">
        <v>39494</v>
      </c>
    </row>
    <row r="18" spans="1:8" ht="27">
      <c r="A18" s="203" t="s">
        <v>117</v>
      </c>
      <c r="B18" s="203">
        <v>20190506</v>
      </c>
      <c r="C18" s="199" t="s">
        <v>734</v>
      </c>
      <c r="D18" s="203" t="s">
        <v>414</v>
      </c>
      <c r="E18" s="203">
        <v>1.3029999999999999</v>
      </c>
      <c r="F18" s="203">
        <v>13030</v>
      </c>
    </row>
    <row r="19" spans="1:8">
      <c r="A19" s="203" t="s">
        <v>117</v>
      </c>
      <c r="B19" s="203">
        <v>20191853</v>
      </c>
      <c r="C19" s="199" t="s">
        <v>735</v>
      </c>
      <c r="D19" s="203" t="s">
        <v>453</v>
      </c>
      <c r="E19" s="203">
        <v>0.88300000000000001</v>
      </c>
      <c r="F19" s="203">
        <v>8830</v>
      </c>
    </row>
    <row r="20" spans="1:8">
      <c r="A20" s="203" t="s">
        <v>117</v>
      </c>
      <c r="B20" s="203">
        <v>20191858</v>
      </c>
      <c r="C20" s="199" t="s">
        <v>736</v>
      </c>
      <c r="D20" s="203" t="s">
        <v>459</v>
      </c>
      <c r="E20" s="203">
        <v>0.84499999999999997</v>
      </c>
      <c r="F20" s="203">
        <v>8450</v>
      </c>
    </row>
    <row r="21" spans="1:8">
      <c r="A21" s="203" t="s">
        <v>117</v>
      </c>
      <c r="B21" s="203">
        <v>20191854</v>
      </c>
      <c r="C21" s="199" t="s">
        <v>737</v>
      </c>
      <c r="D21" s="203" t="s">
        <v>459</v>
      </c>
      <c r="E21" s="203">
        <v>1.2529999999999999</v>
      </c>
      <c r="F21" s="203">
        <v>12530</v>
      </c>
      <c r="G21" s="377">
        <v>12500</v>
      </c>
      <c r="H21">
        <f t="shared" si="0"/>
        <v>30</v>
      </c>
    </row>
    <row r="22" spans="1:8" ht="27">
      <c r="A22" s="203" t="s">
        <v>117</v>
      </c>
      <c r="B22" s="203">
        <v>20190573</v>
      </c>
      <c r="C22" s="199" t="s">
        <v>738</v>
      </c>
      <c r="D22" s="203" t="s">
        <v>690</v>
      </c>
      <c r="E22" s="203">
        <v>0.52490000000000003</v>
      </c>
      <c r="F22" s="203">
        <v>5249</v>
      </c>
      <c r="G22" s="377">
        <v>5230</v>
      </c>
      <c r="H22">
        <f t="shared" si="0"/>
        <v>19</v>
      </c>
    </row>
    <row r="23" spans="1:8">
      <c r="A23" s="203" t="s">
        <v>117</v>
      </c>
      <c r="B23" s="203">
        <v>20191632</v>
      </c>
      <c r="C23" s="199" t="s">
        <v>739</v>
      </c>
      <c r="D23" s="203" t="s">
        <v>459</v>
      </c>
      <c r="E23" s="203">
        <v>1.149</v>
      </c>
      <c r="F23" s="203">
        <v>11490</v>
      </c>
    </row>
    <row r="24" spans="1:8">
      <c r="A24" s="203" t="s">
        <v>117</v>
      </c>
      <c r="B24" s="203">
        <v>20190130</v>
      </c>
      <c r="C24" s="199" t="s">
        <v>740</v>
      </c>
      <c r="D24" s="203" t="s">
        <v>414</v>
      </c>
      <c r="E24" s="203">
        <v>8.3873999999999995</v>
      </c>
      <c r="F24" s="203">
        <f>58696.69+25177.15</f>
        <v>83873.84</v>
      </c>
    </row>
    <row r="25" spans="1:8" ht="27">
      <c r="A25" s="203" t="s">
        <v>117</v>
      </c>
      <c r="B25" s="203">
        <v>20200724</v>
      </c>
      <c r="C25" s="199" t="s">
        <v>741</v>
      </c>
      <c r="D25" s="203" t="s">
        <v>459</v>
      </c>
      <c r="E25" s="203">
        <v>1.59</v>
      </c>
      <c r="F25" s="203">
        <v>15900</v>
      </c>
      <c r="G25" s="377">
        <v>15635</v>
      </c>
      <c r="H25">
        <f t="shared" si="0"/>
        <v>265</v>
      </c>
    </row>
    <row r="26" spans="1:8" ht="27">
      <c r="A26" s="203" t="s">
        <v>117</v>
      </c>
      <c r="B26" s="203">
        <v>20191574</v>
      </c>
      <c r="C26" s="199" t="s">
        <v>742</v>
      </c>
      <c r="D26" s="203" t="s">
        <v>743</v>
      </c>
      <c r="E26" s="203">
        <v>1.6928000000000001</v>
      </c>
      <c r="F26" s="203">
        <v>16928</v>
      </c>
    </row>
    <row r="27" spans="1:8" ht="27">
      <c r="A27" s="203" t="s">
        <v>117</v>
      </c>
      <c r="B27" s="203">
        <v>20191804</v>
      </c>
      <c r="C27" s="199" t="s">
        <v>744</v>
      </c>
      <c r="D27" s="203" t="s">
        <v>745</v>
      </c>
      <c r="E27" s="203">
        <v>1.0651999999999999</v>
      </c>
      <c r="F27" s="203">
        <v>10652</v>
      </c>
    </row>
    <row r="28" spans="1:8">
      <c r="A28" s="203" t="s">
        <v>117</v>
      </c>
      <c r="B28" s="203">
        <v>20191810</v>
      </c>
      <c r="C28" s="199" t="s">
        <v>746</v>
      </c>
      <c r="D28" s="203" t="s">
        <v>561</v>
      </c>
      <c r="E28" s="203">
        <v>0.96299999999999997</v>
      </c>
      <c r="F28" s="203">
        <v>9630</v>
      </c>
    </row>
    <row r="29" spans="1:8">
      <c r="A29" s="203" t="s">
        <v>117</v>
      </c>
      <c r="B29" s="203">
        <v>20191857</v>
      </c>
      <c r="C29" s="199" t="s">
        <v>747</v>
      </c>
      <c r="D29" s="203" t="s">
        <v>459</v>
      </c>
      <c r="E29" s="203">
        <v>0.83220000000000005</v>
      </c>
      <c r="F29" s="203">
        <v>8322</v>
      </c>
      <c r="G29" s="377">
        <v>8295</v>
      </c>
    </row>
    <row r="30" spans="1:8">
      <c r="A30" s="203" t="s">
        <v>117</v>
      </c>
      <c r="B30" s="203">
        <v>20190138</v>
      </c>
      <c r="C30" s="199" t="s">
        <v>748</v>
      </c>
      <c r="D30" s="203" t="s">
        <v>394</v>
      </c>
      <c r="E30" s="203">
        <v>5.5010000000000003</v>
      </c>
      <c r="F30" s="203">
        <f>44000+11010</f>
        <v>55010</v>
      </c>
      <c r="G30">
        <v>55000</v>
      </c>
      <c r="H30">
        <f>F30-G30</f>
        <v>10</v>
      </c>
    </row>
    <row r="31" spans="1:8">
      <c r="A31" s="203" t="s">
        <v>117</v>
      </c>
      <c r="B31" s="203">
        <v>20191799</v>
      </c>
      <c r="C31" s="199" t="s">
        <v>749</v>
      </c>
      <c r="D31" s="203" t="s">
        <v>459</v>
      </c>
      <c r="E31" s="203">
        <v>2.1452</v>
      </c>
      <c r="F31" s="203">
        <v>21452</v>
      </c>
    </row>
    <row r="32" spans="1:8">
      <c r="A32" s="203" t="s">
        <v>117</v>
      </c>
      <c r="B32" s="203">
        <v>20191800</v>
      </c>
      <c r="C32" s="199" t="s">
        <v>750</v>
      </c>
      <c r="D32" s="203" t="s">
        <v>690</v>
      </c>
      <c r="E32" s="203">
        <v>3.1686999999999999</v>
      </c>
      <c r="F32" s="203">
        <v>31687</v>
      </c>
    </row>
    <row r="33" spans="1:8">
      <c r="A33" s="203" t="s">
        <v>117</v>
      </c>
      <c r="B33" s="203">
        <v>20191801</v>
      </c>
      <c r="C33" s="199" t="s">
        <v>751</v>
      </c>
      <c r="D33" s="203" t="s">
        <v>398</v>
      </c>
      <c r="E33" s="203">
        <v>0.63839999999999997</v>
      </c>
      <c r="F33" s="203">
        <v>6384</v>
      </c>
      <c r="G33" s="377">
        <v>6369</v>
      </c>
      <c r="H33">
        <f>F33-G33</f>
        <v>15</v>
      </c>
    </row>
    <row r="34" spans="1:8" ht="27">
      <c r="A34" s="203" t="s">
        <v>117</v>
      </c>
      <c r="B34" s="203">
        <v>20200425</v>
      </c>
      <c r="C34" s="199" t="s">
        <v>752</v>
      </c>
      <c r="D34" s="203" t="s">
        <v>383</v>
      </c>
      <c r="E34" s="203">
        <v>1.5891999999999999</v>
      </c>
      <c r="F34" s="203">
        <v>15892</v>
      </c>
    </row>
    <row r="35" spans="1:8">
      <c r="A35" s="203" t="s">
        <v>117</v>
      </c>
      <c r="B35" s="203">
        <v>20200369</v>
      </c>
      <c r="C35" s="199" t="s">
        <v>753</v>
      </c>
      <c r="D35" s="203" t="s">
        <v>459</v>
      </c>
      <c r="E35" s="203">
        <v>3.976</v>
      </c>
      <c r="F35" s="376">
        <v>39760</v>
      </c>
    </row>
    <row r="36" spans="1:8">
      <c r="A36" s="203" t="s">
        <v>117</v>
      </c>
      <c r="B36" s="203">
        <v>20191522</v>
      </c>
      <c r="C36" s="199" t="s">
        <v>754</v>
      </c>
      <c r="D36" s="203" t="s">
        <v>690</v>
      </c>
      <c r="E36" s="203">
        <v>0.56899999999999995</v>
      </c>
      <c r="F36" s="203">
        <v>5690</v>
      </c>
    </row>
    <row r="37" spans="1:8">
      <c r="A37" s="203" t="s">
        <v>117</v>
      </c>
      <c r="B37" s="203">
        <v>20200377</v>
      </c>
      <c r="C37" s="199" t="s">
        <v>755</v>
      </c>
      <c r="D37" s="203" t="s">
        <v>756</v>
      </c>
      <c r="E37" s="203">
        <v>1.3029999999999999</v>
      </c>
      <c r="F37" s="203">
        <v>13030</v>
      </c>
    </row>
    <row r="38" spans="1:8">
      <c r="A38" s="203" t="s">
        <v>117</v>
      </c>
      <c r="B38" s="203">
        <v>20200374</v>
      </c>
      <c r="C38" s="199" t="s">
        <v>757</v>
      </c>
      <c r="D38" s="203" t="s">
        <v>758</v>
      </c>
      <c r="E38" s="203">
        <v>3.8639000000000001</v>
      </c>
      <c r="F38" s="203">
        <v>38639</v>
      </c>
    </row>
    <row r="39" spans="1:8">
      <c r="A39" s="203" t="s">
        <v>117</v>
      </c>
      <c r="B39" s="203">
        <v>20200376</v>
      </c>
      <c r="C39" s="199" t="s">
        <v>759</v>
      </c>
      <c r="D39" s="203" t="s">
        <v>398</v>
      </c>
      <c r="E39" s="203">
        <v>1.7942</v>
      </c>
      <c r="F39" s="203">
        <v>17942</v>
      </c>
    </row>
    <row r="40" spans="1:8" ht="27">
      <c r="A40" s="203" t="s">
        <v>117</v>
      </c>
      <c r="B40" s="203">
        <v>20200465</v>
      </c>
      <c r="C40" s="199" t="s">
        <v>760</v>
      </c>
      <c r="D40" s="203" t="s">
        <v>758</v>
      </c>
      <c r="E40" s="203">
        <v>0.75</v>
      </c>
      <c r="F40" s="203">
        <v>7500</v>
      </c>
    </row>
    <row r="41" spans="1:8" ht="27">
      <c r="A41" s="428" t="s">
        <v>3096</v>
      </c>
      <c r="B41" s="203">
        <v>20200421</v>
      </c>
      <c r="C41" s="199" t="s">
        <v>761</v>
      </c>
      <c r="D41" s="203" t="s">
        <v>473</v>
      </c>
      <c r="E41" s="203">
        <v>0.56299999999999994</v>
      </c>
      <c r="F41" s="203">
        <v>5630</v>
      </c>
    </row>
    <row r="42" spans="1:8" ht="27">
      <c r="A42" s="203" t="s">
        <v>117</v>
      </c>
      <c r="B42" s="203">
        <v>20200443</v>
      </c>
      <c r="C42" s="199" t="s">
        <v>762</v>
      </c>
      <c r="D42" s="203" t="s">
        <v>498</v>
      </c>
      <c r="E42" s="203">
        <v>1.3976</v>
      </c>
      <c r="F42" s="203">
        <v>13976</v>
      </c>
    </row>
    <row r="43" spans="1:8" ht="27">
      <c r="A43" s="203" t="s">
        <v>117</v>
      </c>
      <c r="B43" s="203">
        <v>20200466</v>
      </c>
      <c r="C43" s="199" t="s">
        <v>763</v>
      </c>
      <c r="D43" s="203" t="s">
        <v>690</v>
      </c>
      <c r="E43" s="203">
        <v>0.65100000000000002</v>
      </c>
      <c r="F43" s="203">
        <v>6510</v>
      </c>
    </row>
    <row r="44" spans="1:8">
      <c r="A44" s="203" t="s">
        <v>117</v>
      </c>
      <c r="B44" s="203">
        <v>20201051</v>
      </c>
      <c r="C44" s="199" t="s">
        <v>764</v>
      </c>
      <c r="D44" s="203" t="s">
        <v>690</v>
      </c>
      <c r="E44" s="203">
        <v>1.4490000000000001</v>
      </c>
      <c r="F44" s="203">
        <v>14490</v>
      </c>
    </row>
    <row r="45" spans="1:8" ht="27">
      <c r="A45" s="203" t="s">
        <v>117</v>
      </c>
      <c r="B45" s="203">
        <v>20200561</v>
      </c>
      <c r="C45" s="199" t="s">
        <v>765</v>
      </c>
      <c r="D45" s="203" t="s">
        <v>766</v>
      </c>
      <c r="E45" s="203">
        <v>0.50800000000000001</v>
      </c>
      <c r="F45" s="203">
        <v>5080</v>
      </c>
    </row>
    <row r="46" spans="1:8">
      <c r="A46" s="203" t="s">
        <v>117</v>
      </c>
      <c r="B46" s="203">
        <v>20200359</v>
      </c>
      <c r="C46" s="199" t="s">
        <v>767</v>
      </c>
      <c r="D46" s="203" t="s">
        <v>453</v>
      </c>
      <c r="E46" s="203">
        <v>0.42</v>
      </c>
      <c r="F46" s="203">
        <v>4200</v>
      </c>
    </row>
    <row r="47" spans="1:8">
      <c r="A47" s="203" t="s">
        <v>117</v>
      </c>
      <c r="B47" s="203">
        <v>20201061</v>
      </c>
      <c r="C47" s="199" t="s">
        <v>768</v>
      </c>
      <c r="D47" s="203" t="s">
        <v>414</v>
      </c>
      <c r="E47" s="203">
        <v>1.335</v>
      </c>
      <c r="F47" s="203">
        <v>13350</v>
      </c>
    </row>
    <row r="48" spans="1:8">
      <c r="A48" s="203" t="s">
        <v>182</v>
      </c>
      <c r="B48" s="845"/>
      <c r="C48" s="845"/>
      <c r="D48" s="845"/>
      <c r="E48" s="203">
        <v>83</v>
      </c>
      <c r="F48" s="203">
        <f>SUM(F3:F47)</f>
        <v>830139.84</v>
      </c>
      <c r="G48" s="378">
        <f t="shared" ref="G48:H48" si="1">SUM(G3:G47)</f>
        <v>149815</v>
      </c>
      <c r="H48" s="378">
        <f t="shared" si="1"/>
        <v>707</v>
      </c>
    </row>
  </sheetData>
  <mergeCells count="4">
    <mergeCell ref="B1:E1"/>
    <mergeCell ref="B48:D48"/>
    <mergeCell ref="A1:A2"/>
    <mergeCell ref="F1:F2"/>
  </mergeCells>
  <phoneticPr fontId="92" type="noConversion"/>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S3"/>
  <sheetViews>
    <sheetView topLeftCell="A4" workbookViewId="0">
      <selection activeCell="D47" sqref="D47"/>
    </sheetView>
  </sheetViews>
  <sheetFormatPr defaultColWidth="8.875" defaultRowHeight="13.5"/>
  <cols>
    <col min="2" max="2" width="29.875" customWidth="1"/>
  </cols>
  <sheetData>
    <row r="1" spans="1:19" ht="25.5">
      <c r="A1" s="772" t="s">
        <v>0</v>
      </c>
      <c r="B1" s="772"/>
      <c r="C1" s="772"/>
      <c r="D1" s="772"/>
      <c r="E1" s="772"/>
      <c r="F1" s="772"/>
      <c r="G1" s="772"/>
      <c r="H1" s="772"/>
      <c r="I1" s="772"/>
      <c r="J1" s="772"/>
      <c r="K1" s="772"/>
      <c r="L1" s="772"/>
      <c r="M1" s="772"/>
      <c r="N1" s="772"/>
      <c r="O1" s="772"/>
      <c r="P1" s="772"/>
      <c r="Q1" s="772"/>
      <c r="R1" s="772"/>
      <c r="S1" s="772"/>
    </row>
    <row r="2" spans="1:19" ht="45.95" customHeight="1">
      <c r="A2" s="775" t="s">
        <v>1</v>
      </c>
      <c r="B2" s="775" t="s">
        <v>2</v>
      </c>
      <c r="C2" s="351" t="s">
        <v>3</v>
      </c>
      <c r="D2" s="773" t="s">
        <v>4</v>
      </c>
      <c r="E2" s="773"/>
      <c r="F2" s="773"/>
      <c r="G2" s="773"/>
      <c r="H2" s="773"/>
      <c r="I2" s="773"/>
      <c r="J2" s="774" t="s">
        <v>5</v>
      </c>
      <c r="K2" s="774"/>
      <c r="L2" s="354" t="s">
        <v>6</v>
      </c>
      <c r="M2" s="355" t="s">
        <v>7</v>
      </c>
      <c r="N2" s="356" t="s">
        <v>8</v>
      </c>
      <c r="O2" s="357" t="s">
        <v>9</v>
      </c>
      <c r="P2" s="358" t="s">
        <v>10</v>
      </c>
      <c r="Q2" s="365" t="s">
        <v>11</v>
      </c>
      <c r="R2" s="366" t="s">
        <v>12</v>
      </c>
      <c r="S2" s="367" t="s">
        <v>13</v>
      </c>
    </row>
    <row r="3" spans="1:19" ht="36.950000000000003" customHeight="1">
      <c r="A3" s="775"/>
      <c r="B3" s="775"/>
      <c r="C3" s="352" t="s">
        <v>14</v>
      </c>
      <c r="D3" s="353"/>
      <c r="E3" s="353"/>
      <c r="F3" s="353"/>
      <c r="G3" s="353"/>
      <c r="H3" s="353"/>
      <c r="I3" s="353"/>
      <c r="J3" s="359" t="s">
        <v>15</v>
      </c>
      <c r="K3" s="359" t="s">
        <v>16</v>
      </c>
      <c r="L3" s="360"/>
      <c r="M3" s="361"/>
      <c r="N3" s="362"/>
      <c r="O3" s="363"/>
      <c r="P3" s="364"/>
      <c r="Q3" s="365"/>
      <c r="R3" s="366"/>
      <c r="S3" s="367"/>
    </row>
  </sheetData>
  <mergeCells count="5">
    <mergeCell ref="A1:S1"/>
    <mergeCell ref="D2:I2"/>
    <mergeCell ref="J2:K2"/>
    <mergeCell ref="A2:A3"/>
    <mergeCell ref="B2:B3"/>
  </mergeCells>
  <phoneticPr fontId="92" type="noConversion"/>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dimension ref="A1:L52"/>
  <sheetViews>
    <sheetView topLeftCell="A6" workbookViewId="0">
      <selection activeCell="AF30" sqref="AF30"/>
    </sheetView>
  </sheetViews>
  <sheetFormatPr defaultColWidth="8.875" defaultRowHeight="13.5"/>
  <cols>
    <col min="1" max="1" width="27.125" style="111" customWidth="1"/>
    <col min="2" max="2" width="21.5" style="111" customWidth="1"/>
    <col min="3" max="3" width="13.5" style="111" customWidth="1"/>
    <col min="4" max="4" width="18.875" style="111" customWidth="1"/>
    <col min="5" max="5" width="15.125" style="111" customWidth="1"/>
    <col min="6" max="6" width="39.375" style="111" customWidth="1"/>
    <col min="7" max="9" width="8.875" style="111"/>
    <col min="10" max="10" width="20.125" style="111" customWidth="1"/>
    <col min="11" max="11" width="8.875" style="111"/>
    <col min="12" max="12" width="16.875" style="202" customWidth="1"/>
    <col min="13" max="16384" width="8.875" style="111"/>
  </cols>
  <sheetData>
    <row r="1" spans="1:12" ht="36.950000000000003" customHeight="1">
      <c r="A1" s="845" t="s">
        <v>769</v>
      </c>
      <c r="B1" s="845"/>
      <c r="C1" s="845"/>
      <c r="D1" s="845"/>
      <c r="E1" s="845"/>
      <c r="F1" s="845"/>
      <c r="G1" s="845"/>
      <c r="H1" s="845"/>
      <c r="I1" s="845"/>
      <c r="J1" s="845"/>
      <c r="K1" s="845"/>
      <c r="L1" s="204"/>
    </row>
    <row r="2" spans="1:12" ht="39.950000000000003" customHeight="1">
      <c r="A2" s="203" t="s">
        <v>770</v>
      </c>
      <c r="B2" s="203" t="s">
        <v>771</v>
      </c>
      <c r="C2" s="203" t="s">
        <v>772</v>
      </c>
      <c r="D2" s="203" t="s">
        <v>773</v>
      </c>
      <c r="E2" s="203" t="s">
        <v>774</v>
      </c>
      <c r="F2" s="203" t="s">
        <v>775</v>
      </c>
      <c r="G2" s="203" t="s">
        <v>776</v>
      </c>
      <c r="H2" s="203" t="s">
        <v>777</v>
      </c>
      <c r="I2" s="203" t="s">
        <v>778</v>
      </c>
      <c r="J2" s="203" t="s">
        <v>779</v>
      </c>
      <c r="K2" s="203" t="s">
        <v>12</v>
      </c>
      <c r="L2" s="204" t="s">
        <v>672</v>
      </c>
    </row>
    <row r="3" spans="1:12">
      <c r="A3" s="203" t="s">
        <v>780</v>
      </c>
      <c r="B3" s="203" t="s">
        <v>781</v>
      </c>
      <c r="C3" s="203" t="s">
        <v>782</v>
      </c>
      <c r="D3" s="203" t="s">
        <v>120</v>
      </c>
      <c r="E3" s="203" t="s">
        <v>783</v>
      </c>
      <c r="F3" s="203" t="s">
        <v>784</v>
      </c>
      <c r="G3" s="203" t="s">
        <v>785</v>
      </c>
      <c r="H3" s="203" t="s">
        <v>786</v>
      </c>
      <c r="I3" s="203" t="s">
        <v>296</v>
      </c>
      <c r="J3" s="203" t="s">
        <v>787</v>
      </c>
      <c r="K3" s="203" t="s">
        <v>788</v>
      </c>
      <c r="L3" s="870">
        <f>J3+J4</f>
        <v>127585</v>
      </c>
    </row>
    <row r="4" spans="1:12">
      <c r="A4" s="203" t="s">
        <v>789</v>
      </c>
      <c r="B4" s="203" t="s">
        <v>790</v>
      </c>
      <c r="C4" s="203" t="s">
        <v>791</v>
      </c>
      <c r="D4" s="203" t="s">
        <v>120</v>
      </c>
      <c r="E4" s="203" t="s">
        <v>783</v>
      </c>
      <c r="F4" s="203" t="s">
        <v>784</v>
      </c>
      <c r="G4" s="203" t="s">
        <v>785</v>
      </c>
      <c r="H4" s="203" t="s">
        <v>786</v>
      </c>
      <c r="I4" s="203" t="s">
        <v>296</v>
      </c>
      <c r="J4" s="203" t="s">
        <v>792</v>
      </c>
      <c r="K4" s="203" t="s">
        <v>788</v>
      </c>
      <c r="L4" s="870"/>
    </row>
    <row r="5" spans="1:12">
      <c r="A5" s="203" t="s">
        <v>793</v>
      </c>
      <c r="B5" s="203" t="s">
        <v>794</v>
      </c>
      <c r="C5" s="203" t="s">
        <v>795</v>
      </c>
      <c r="D5" s="203" t="s">
        <v>120</v>
      </c>
      <c r="E5" s="203" t="s">
        <v>783</v>
      </c>
      <c r="F5" s="203" t="s">
        <v>796</v>
      </c>
      <c r="G5" s="203" t="s">
        <v>797</v>
      </c>
      <c r="H5" s="203" t="s">
        <v>786</v>
      </c>
      <c r="I5" s="203" t="s">
        <v>296</v>
      </c>
      <c r="J5" s="203" t="s">
        <v>798</v>
      </c>
      <c r="K5" s="203" t="s">
        <v>799</v>
      </c>
      <c r="L5" s="883">
        <f>J5+J6+J7</f>
        <v>437013</v>
      </c>
    </row>
    <row r="6" spans="1:12">
      <c r="A6" s="203" t="s">
        <v>800</v>
      </c>
      <c r="B6" s="203" t="s">
        <v>801</v>
      </c>
      <c r="C6" s="203" t="s">
        <v>802</v>
      </c>
      <c r="D6" s="203" t="s">
        <v>120</v>
      </c>
      <c r="E6" s="203" t="s">
        <v>783</v>
      </c>
      <c r="F6" s="203" t="s">
        <v>796</v>
      </c>
      <c r="G6" s="203" t="s">
        <v>797</v>
      </c>
      <c r="H6" s="203" t="s">
        <v>786</v>
      </c>
      <c r="I6" s="203" t="s">
        <v>296</v>
      </c>
      <c r="J6" s="203" t="s">
        <v>803</v>
      </c>
      <c r="K6" s="203" t="s">
        <v>799</v>
      </c>
      <c r="L6" s="883"/>
    </row>
    <row r="7" spans="1:12">
      <c r="A7" s="203" t="s">
        <v>804</v>
      </c>
      <c r="B7" s="203" t="s">
        <v>805</v>
      </c>
      <c r="C7" s="203" t="s">
        <v>806</v>
      </c>
      <c r="D7" s="203" t="s">
        <v>120</v>
      </c>
      <c r="E7" s="203" t="s">
        <v>783</v>
      </c>
      <c r="F7" s="203" t="s">
        <v>796</v>
      </c>
      <c r="G7" s="203" t="s">
        <v>797</v>
      </c>
      <c r="H7" s="203" t="s">
        <v>786</v>
      </c>
      <c r="I7" s="203" t="s">
        <v>296</v>
      </c>
      <c r="J7" s="203" t="s">
        <v>807</v>
      </c>
      <c r="K7" s="203" t="s">
        <v>799</v>
      </c>
      <c r="L7" s="883"/>
    </row>
    <row r="8" spans="1:12">
      <c r="A8" s="203" t="s">
        <v>808</v>
      </c>
      <c r="B8" s="203" t="s">
        <v>809</v>
      </c>
      <c r="C8" s="203" t="s">
        <v>810</v>
      </c>
      <c r="D8" s="203" t="s">
        <v>120</v>
      </c>
      <c r="E8" s="203" t="s">
        <v>783</v>
      </c>
      <c r="F8" s="203" t="s">
        <v>811</v>
      </c>
      <c r="G8" s="203" t="s">
        <v>812</v>
      </c>
      <c r="H8" s="203" t="s">
        <v>786</v>
      </c>
      <c r="I8" s="203" t="s">
        <v>296</v>
      </c>
      <c r="J8" s="203" t="s">
        <v>813</v>
      </c>
      <c r="K8" s="203" t="s">
        <v>814</v>
      </c>
      <c r="L8" s="205" t="str">
        <f>J8</f>
        <v>184299.00</v>
      </c>
    </row>
    <row r="9" spans="1:12">
      <c r="A9" s="203" t="s">
        <v>815</v>
      </c>
      <c r="B9" s="203" t="s">
        <v>816</v>
      </c>
      <c r="C9" s="203" t="s">
        <v>817</v>
      </c>
      <c r="D9" s="203" t="s">
        <v>120</v>
      </c>
      <c r="E9" s="203" t="s">
        <v>783</v>
      </c>
      <c r="F9" s="203" t="s">
        <v>818</v>
      </c>
      <c r="G9" s="203" t="s">
        <v>819</v>
      </c>
      <c r="H9" s="203" t="s">
        <v>786</v>
      </c>
      <c r="I9" s="203" t="s">
        <v>296</v>
      </c>
      <c r="J9" s="203" t="s">
        <v>820</v>
      </c>
      <c r="K9" s="203" t="s">
        <v>821</v>
      </c>
      <c r="L9" s="883">
        <f>J9+J10</f>
        <v>203319</v>
      </c>
    </row>
    <row r="10" spans="1:12">
      <c r="A10" s="203" t="s">
        <v>822</v>
      </c>
      <c r="B10" s="203" t="s">
        <v>823</v>
      </c>
      <c r="C10" s="203" t="s">
        <v>824</v>
      </c>
      <c r="D10" s="203" t="s">
        <v>120</v>
      </c>
      <c r="E10" s="203" t="s">
        <v>783</v>
      </c>
      <c r="F10" s="203" t="s">
        <v>818</v>
      </c>
      <c r="G10" s="203" t="s">
        <v>819</v>
      </c>
      <c r="H10" s="203" t="s">
        <v>786</v>
      </c>
      <c r="I10" s="203" t="s">
        <v>296</v>
      </c>
      <c r="J10" s="203" t="s">
        <v>825</v>
      </c>
      <c r="K10" s="203" t="s">
        <v>821</v>
      </c>
      <c r="L10" s="883"/>
    </row>
    <row r="11" spans="1:12">
      <c r="A11" s="203" t="s">
        <v>826</v>
      </c>
      <c r="B11" s="203" t="s">
        <v>827</v>
      </c>
      <c r="C11" s="203" t="s">
        <v>828</v>
      </c>
      <c r="D11" s="203" t="s">
        <v>120</v>
      </c>
      <c r="E11" s="203" t="s">
        <v>783</v>
      </c>
      <c r="F11" s="203" t="s">
        <v>829</v>
      </c>
      <c r="G11" s="203" t="s">
        <v>830</v>
      </c>
      <c r="H11" s="203" t="s">
        <v>831</v>
      </c>
      <c r="I11" s="203" t="s">
        <v>296</v>
      </c>
      <c r="J11" s="203" t="s">
        <v>832</v>
      </c>
      <c r="K11" s="203" t="s">
        <v>833</v>
      </c>
      <c r="L11" s="883">
        <f>J11+J12</f>
        <v>93028</v>
      </c>
    </row>
    <row r="12" spans="1:12">
      <c r="A12" s="203" t="s">
        <v>834</v>
      </c>
      <c r="B12" s="203" t="s">
        <v>835</v>
      </c>
      <c r="C12" s="203" t="s">
        <v>810</v>
      </c>
      <c r="D12" s="203" t="s">
        <v>120</v>
      </c>
      <c r="E12" s="203" t="s">
        <v>783</v>
      </c>
      <c r="F12" s="203" t="s">
        <v>829</v>
      </c>
      <c r="G12" s="203" t="s">
        <v>830</v>
      </c>
      <c r="H12" s="203" t="s">
        <v>831</v>
      </c>
      <c r="I12" s="203" t="s">
        <v>296</v>
      </c>
      <c r="J12" s="203" t="s">
        <v>832</v>
      </c>
      <c r="K12" s="203" t="s">
        <v>833</v>
      </c>
      <c r="L12" s="883"/>
    </row>
    <row r="13" spans="1:12">
      <c r="A13" s="203" t="s">
        <v>836</v>
      </c>
      <c r="B13" s="203" t="s">
        <v>837</v>
      </c>
      <c r="C13" s="203" t="s">
        <v>838</v>
      </c>
      <c r="D13" s="203" t="s">
        <v>120</v>
      </c>
      <c r="E13" s="203" t="s">
        <v>783</v>
      </c>
      <c r="F13" s="203" t="s">
        <v>829</v>
      </c>
      <c r="G13" s="203" t="s">
        <v>830</v>
      </c>
      <c r="H13" s="203" t="s">
        <v>831</v>
      </c>
      <c r="I13" s="203" t="s">
        <v>296</v>
      </c>
      <c r="J13" s="203" t="s">
        <v>839</v>
      </c>
      <c r="K13" s="203" t="s">
        <v>840</v>
      </c>
      <c r="L13" s="883">
        <f>J13+J14+J15+J16</f>
        <v>156399</v>
      </c>
    </row>
    <row r="14" spans="1:12">
      <c r="A14" s="203" t="s">
        <v>841</v>
      </c>
      <c r="B14" s="203" t="s">
        <v>842</v>
      </c>
      <c r="C14" s="203" t="s">
        <v>817</v>
      </c>
      <c r="D14" s="203" t="s">
        <v>120</v>
      </c>
      <c r="E14" s="203" t="s">
        <v>783</v>
      </c>
      <c r="F14" s="203" t="s">
        <v>829</v>
      </c>
      <c r="G14" s="203" t="s">
        <v>830</v>
      </c>
      <c r="H14" s="203" t="s">
        <v>831</v>
      </c>
      <c r="I14" s="203" t="s">
        <v>296</v>
      </c>
      <c r="J14" s="203" t="s">
        <v>843</v>
      </c>
      <c r="K14" s="203" t="s">
        <v>840</v>
      </c>
      <c r="L14" s="883"/>
    </row>
    <row r="15" spans="1:12">
      <c r="A15" s="203" t="s">
        <v>844</v>
      </c>
      <c r="B15" s="203" t="s">
        <v>845</v>
      </c>
      <c r="C15" s="203" t="s">
        <v>846</v>
      </c>
      <c r="D15" s="203" t="s">
        <v>120</v>
      </c>
      <c r="E15" s="203" t="s">
        <v>783</v>
      </c>
      <c r="F15" s="203" t="s">
        <v>829</v>
      </c>
      <c r="G15" s="203" t="s">
        <v>830</v>
      </c>
      <c r="H15" s="203" t="s">
        <v>831</v>
      </c>
      <c r="I15" s="203" t="s">
        <v>296</v>
      </c>
      <c r="J15" s="203" t="s">
        <v>839</v>
      </c>
      <c r="K15" s="203" t="s">
        <v>840</v>
      </c>
      <c r="L15" s="883"/>
    </row>
    <row r="16" spans="1:12">
      <c r="A16" s="203" t="s">
        <v>847</v>
      </c>
      <c r="B16" s="203" t="s">
        <v>848</v>
      </c>
      <c r="C16" s="203" t="s">
        <v>849</v>
      </c>
      <c r="D16" s="203" t="s">
        <v>120</v>
      </c>
      <c r="E16" s="203" t="s">
        <v>783</v>
      </c>
      <c r="F16" s="203" t="s">
        <v>829</v>
      </c>
      <c r="G16" s="203" t="s">
        <v>830</v>
      </c>
      <c r="H16" s="203" t="s">
        <v>831</v>
      </c>
      <c r="I16" s="203" t="s">
        <v>296</v>
      </c>
      <c r="J16" s="203" t="s">
        <v>850</v>
      </c>
      <c r="K16" s="203" t="s">
        <v>840</v>
      </c>
      <c r="L16" s="883"/>
    </row>
    <row r="17" spans="1:12">
      <c r="A17" s="203" t="s">
        <v>851</v>
      </c>
      <c r="B17" s="203" t="s">
        <v>852</v>
      </c>
      <c r="C17" s="203" t="s">
        <v>817</v>
      </c>
      <c r="D17" s="203" t="s">
        <v>120</v>
      </c>
      <c r="E17" s="203" t="s">
        <v>783</v>
      </c>
      <c r="F17" s="203" t="s">
        <v>853</v>
      </c>
      <c r="G17" s="203" t="s">
        <v>854</v>
      </c>
      <c r="H17" s="203" t="s">
        <v>786</v>
      </c>
      <c r="I17" s="203" t="s">
        <v>296</v>
      </c>
      <c r="J17" s="203" t="s">
        <v>855</v>
      </c>
      <c r="K17" s="203" t="s">
        <v>856</v>
      </c>
      <c r="L17" s="883">
        <f>J17+J19</f>
        <v>509337</v>
      </c>
    </row>
    <row r="18" spans="1:12">
      <c r="A18" s="203" t="s">
        <v>857</v>
      </c>
      <c r="B18" s="203" t="s">
        <v>858</v>
      </c>
      <c r="C18" s="203" t="s">
        <v>859</v>
      </c>
      <c r="D18" s="203" t="s">
        <v>120</v>
      </c>
      <c r="E18" s="203" t="s">
        <v>783</v>
      </c>
      <c r="F18" s="203" t="s">
        <v>853</v>
      </c>
      <c r="G18" s="203" t="s">
        <v>854</v>
      </c>
      <c r="H18" s="203" t="s">
        <v>786</v>
      </c>
      <c r="I18" s="203" t="s">
        <v>296</v>
      </c>
      <c r="J18" s="203" t="s">
        <v>860</v>
      </c>
      <c r="K18" s="203" t="s">
        <v>856</v>
      </c>
      <c r="L18" s="883"/>
    </row>
    <row r="19" spans="1:12">
      <c r="A19" s="203" t="s">
        <v>861</v>
      </c>
      <c r="B19" s="203" t="s">
        <v>862</v>
      </c>
      <c r="C19" s="203" t="s">
        <v>863</v>
      </c>
      <c r="D19" s="203" t="s">
        <v>120</v>
      </c>
      <c r="E19" s="203" t="s">
        <v>783</v>
      </c>
      <c r="F19" s="203" t="s">
        <v>864</v>
      </c>
      <c r="G19" s="203" t="s">
        <v>865</v>
      </c>
      <c r="H19" s="203" t="s">
        <v>786</v>
      </c>
      <c r="I19" s="203" t="s">
        <v>296</v>
      </c>
      <c r="J19" s="203" t="s">
        <v>866</v>
      </c>
      <c r="K19" s="203" t="s">
        <v>867</v>
      </c>
      <c r="L19" s="883">
        <f>J19+J20+J21+J22</f>
        <v>1215489</v>
      </c>
    </row>
    <row r="20" spans="1:12">
      <c r="A20" s="203" t="s">
        <v>868</v>
      </c>
      <c r="B20" s="203" t="s">
        <v>869</v>
      </c>
      <c r="C20" s="203" t="s">
        <v>870</v>
      </c>
      <c r="D20" s="203" t="s">
        <v>120</v>
      </c>
      <c r="E20" s="203" t="s">
        <v>783</v>
      </c>
      <c r="F20" s="203" t="s">
        <v>864</v>
      </c>
      <c r="G20" s="203" t="s">
        <v>865</v>
      </c>
      <c r="H20" s="203" t="s">
        <v>786</v>
      </c>
      <c r="I20" s="203" t="s">
        <v>296</v>
      </c>
      <c r="J20" s="203" t="s">
        <v>871</v>
      </c>
      <c r="K20" s="203" t="s">
        <v>867</v>
      </c>
      <c r="L20" s="883"/>
    </row>
    <row r="21" spans="1:12">
      <c r="A21" s="203" t="s">
        <v>872</v>
      </c>
      <c r="B21" s="203" t="s">
        <v>873</v>
      </c>
      <c r="C21" s="203" t="s">
        <v>874</v>
      </c>
      <c r="D21" s="203" t="s">
        <v>120</v>
      </c>
      <c r="E21" s="203" t="s">
        <v>783</v>
      </c>
      <c r="F21" s="203" t="s">
        <v>864</v>
      </c>
      <c r="G21" s="203" t="s">
        <v>865</v>
      </c>
      <c r="H21" s="203" t="s">
        <v>786</v>
      </c>
      <c r="I21" s="203" t="s">
        <v>296</v>
      </c>
      <c r="J21" s="203" t="s">
        <v>875</v>
      </c>
      <c r="K21" s="203" t="s">
        <v>867</v>
      </c>
      <c r="L21" s="883"/>
    </row>
    <row r="22" spans="1:12">
      <c r="A22" s="203" t="s">
        <v>876</v>
      </c>
      <c r="B22" s="203" t="s">
        <v>877</v>
      </c>
      <c r="C22" s="203" t="s">
        <v>878</v>
      </c>
      <c r="D22" s="203" t="s">
        <v>120</v>
      </c>
      <c r="E22" s="203" t="s">
        <v>783</v>
      </c>
      <c r="F22" s="203" t="s">
        <v>864</v>
      </c>
      <c r="G22" s="203" t="s">
        <v>865</v>
      </c>
      <c r="H22" s="203" t="s">
        <v>786</v>
      </c>
      <c r="I22" s="203" t="s">
        <v>296</v>
      </c>
      <c r="J22" s="203" t="s">
        <v>879</v>
      </c>
      <c r="K22" s="203" t="s">
        <v>867</v>
      </c>
      <c r="L22" s="883"/>
    </row>
    <row r="23" spans="1:12">
      <c r="A23" s="203" t="s">
        <v>880</v>
      </c>
      <c r="B23" s="203" t="s">
        <v>881</v>
      </c>
      <c r="C23" s="203" t="s">
        <v>882</v>
      </c>
      <c r="D23" s="203" t="s">
        <v>120</v>
      </c>
      <c r="E23" s="203" t="s">
        <v>783</v>
      </c>
      <c r="F23" s="203" t="s">
        <v>864</v>
      </c>
      <c r="G23" s="203" t="s">
        <v>865</v>
      </c>
      <c r="H23" s="203" t="s">
        <v>786</v>
      </c>
      <c r="I23" s="203" t="s">
        <v>296</v>
      </c>
      <c r="J23" s="203" t="s">
        <v>883</v>
      </c>
      <c r="K23" s="203" t="s">
        <v>884</v>
      </c>
      <c r="L23" s="205" t="str">
        <f>J23</f>
        <v>129633.00</v>
      </c>
    </row>
    <row r="24" spans="1:12">
      <c r="A24" s="203" t="s">
        <v>885</v>
      </c>
      <c r="B24" s="203" t="s">
        <v>886</v>
      </c>
      <c r="C24" s="203" t="s">
        <v>887</v>
      </c>
      <c r="D24" s="203" t="s">
        <v>120</v>
      </c>
      <c r="E24" s="203" t="s">
        <v>783</v>
      </c>
      <c r="F24" s="203" t="s">
        <v>888</v>
      </c>
      <c r="G24" s="203" t="s">
        <v>889</v>
      </c>
      <c r="H24" s="203" t="s">
        <v>831</v>
      </c>
      <c r="I24" s="203" t="s">
        <v>296</v>
      </c>
      <c r="J24" s="203" t="s">
        <v>890</v>
      </c>
      <c r="K24" s="203" t="s">
        <v>891</v>
      </c>
      <c r="L24" s="883">
        <f>J24+J25+J26</f>
        <v>641519</v>
      </c>
    </row>
    <row r="25" spans="1:12">
      <c r="A25" s="203" t="s">
        <v>892</v>
      </c>
      <c r="B25" s="203" t="s">
        <v>893</v>
      </c>
      <c r="C25" s="203" t="s">
        <v>894</v>
      </c>
      <c r="D25" s="203" t="s">
        <v>120</v>
      </c>
      <c r="E25" s="203" t="s">
        <v>783</v>
      </c>
      <c r="F25" s="203" t="s">
        <v>888</v>
      </c>
      <c r="G25" s="203" t="s">
        <v>889</v>
      </c>
      <c r="H25" s="203" t="s">
        <v>831</v>
      </c>
      <c r="I25" s="203" t="s">
        <v>296</v>
      </c>
      <c r="J25" s="203" t="s">
        <v>895</v>
      </c>
      <c r="K25" s="203" t="s">
        <v>891</v>
      </c>
      <c r="L25" s="883"/>
    </row>
    <row r="26" spans="1:12">
      <c r="A26" s="203" t="s">
        <v>896</v>
      </c>
      <c r="B26" s="203" t="s">
        <v>897</v>
      </c>
      <c r="C26" s="203" t="s">
        <v>898</v>
      </c>
      <c r="D26" s="203" t="s">
        <v>120</v>
      </c>
      <c r="E26" s="203" t="s">
        <v>783</v>
      </c>
      <c r="F26" s="203" t="s">
        <v>888</v>
      </c>
      <c r="G26" s="203" t="s">
        <v>889</v>
      </c>
      <c r="H26" s="203" t="s">
        <v>831</v>
      </c>
      <c r="I26" s="203" t="s">
        <v>296</v>
      </c>
      <c r="J26" s="203" t="s">
        <v>899</v>
      </c>
      <c r="K26" s="203" t="s">
        <v>891</v>
      </c>
      <c r="L26" s="883"/>
    </row>
    <row r="27" spans="1:12">
      <c r="A27" s="203" t="s">
        <v>900</v>
      </c>
      <c r="B27" s="203" t="s">
        <v>901</v>
      </c>
      <c r="C27" s="203" t="s">
        <v>828</v>
      </c>
      <c r="D27" s="203" t="s">
        <v>120</v>
      </c>
      <c r="E27" s="203" t="s">
        <v>783</v>
      </c>
      <c r="F27" s="203" t="s">
        <v>902</v>
      </c>
      <c r="G27" s="203" t="s">
        <v>903</v>
      </c>
      <c r="H27" s="203" t="s">
        <v>786</v>
      </c>
      <c r="I27" s="203" t="s">
        <v>296</v>
      </c>
      <c r="J27" s="203" t="s">
        <v>904</v>
      </c>
      <c r="K27" s="203" t="s">
        <v>905</v>
      </c>
      <c r="L27" s="883">
        <f>J27+J28+J29</f>
        <v>226263</v>
      </c>
    </row>
    <row r="28" spans="1:12">
      <c r="A28" s="203" t="s">
        <v>906</v>
      </c>
      <c r="B28" s="203" t="s">
        <v>907</v>
      </c>
      <c r="C28" s="203" t="s">
        <v>870</v>
      </c>
      <c r="D28" s="203" t="s">
        <v>120</v>
      </c>
      <c r="E28" s="203" t="s">
        <v>783</v>
      </c>
      <c r="F28" s="203" t="s">
        <v>902</v>
      </c>
      <c r="G28" s="203" t="s">
        <v>903</v>
      </c>
      <c r="H28" s="203" t="s">
        <v>786</v>
      </c>
      <c r="I28" s="203" t="s">
        <v>296</v>
      </c>
      <c r="J28" s="203" t="s">
        <v>908</v>
      </c>
      <c r="K28" s="203" t="s">
        <v>905</v>
      </c>
      <c r="L28" s="883"/>
    </row>
    <row r="29" spans="1:12">
      <c r="A29" s="203" t="s">
        <v>909</v>
      </c>
      <c r="B29" s="203" t="s">
        <v>910</v>
      </c>
      <c r="C29" s="203" t="s">
        <v>870</v>
      </c>
      <c r="D29" s="203" t="s">
        <v>120</v>
      </c>
      <c r="E29" s="203" t="s">
        <v>783</v>
      </c>
      <c r="F29" s="203" t="s">
        <v>902</v>
      </c>
      <c r="G29" s="203" t="s">
        <v>903</v>
      </c>
      <c r="H29" s="203" t="s">
        <v>786</v>
      </c>
      <c r="I29" s="203" t="s">
        <v>296</v>
      </c>
      <c r="J29" s="203" t="s">
        <v>911</v>
      </c>
      <c r="K29" s="203" t="s">
        <v>905</v>
      </c>
      <c r="L29" s="883"/>
    </row>
    <row r="30" spans="1:12">
      <c r="A30" s="203" t="s">
        <v>912</v>
      </c>
      <c r="B30" s="203" t="s">
        <v>913</v>
      </c>
      <c r="C30" s="203" t="s">
        <v>914</v>
      </c>
      <c r="D30" s="203" t="s">
        <v>120</v>
      </c>
      <c r="E30" s="203" t="s">
        <v>783</v>
      </c>
      <c r="F30" s="203" t="s">
        <v>796</v>
      </c>
      <c r="G30" s="203" t="s">
        <v>797</v>
      </c>
      <c r="H30" s="203" t="s">
        <v>786</v>
      </c>
      <c r="I30" s="203" t="s">
        <v>296</v>
      </c>
      <c r="J30" s="203" t="s">
        <v>915</v>
      </c>
      <c r="K30" s="203" t="s">
        <v>916</v>
      </c>
      <c r="L30" s="205" t="str">
        <f>J30</f>
        <v>180839.00</v>
      </c>
    </row>
    <row r="31" spans="1:12">
      <c r="A31" s="203" t="s">
        <v>917</v>
      </c>
      <c r="B31" s="203" t="s">
        <v>918</v>
      </c>
      <c r="C31" s="203" t="s">
        <v>919</v>
      </c>
      <c r="D31" s="203" t="s">
        <v>120</v>
      </c>
      <c r="E31" s="203" t="s">
        <v>783</v>
      </c>
      <c r="F31" s="203" t="s">
        <v>920</v>
      </c>
      <c r="G31" s="203" t="s">
        <v>812</v>
      </c>
      <c r="H31" s="203" t="s">
        <v>786</v>
      </c>
      <c r="I31" s="203" t="s">
        <v>296</v>
      </c>
      <c r="J31" s="203" t="s">
        <v>921</v>
      </c>
      <c r="K31" s="203" t="s">
        <v>922</v>
      </c>
      <c r="L31" s="883">
        <f>J31+J32</f>
        <v>174955</v>
      </c>
    </row>
    <row r="32" spans="1:12">
      <c r="A32" s="203" t="s">
        <v>923</v>
      </c>
      <c r="B32" s="203" t="s">
        <v>924</v>
      </c>
      <c r="C32" s="203" t="s">
        <v>925</v>
      </c>
      <c r="D32" s="203" t="s">
        <v>120</v>
      </c>
      <c r="E32" s="203" t="s">
        <v>783</v>
      </c>
      <c r="F32" s="203" t="s">
        <v>920</v>
      </c>
      <c r="G32" s="203" t="s">
        <v>812</v>
      </c>
      <c r="H32" s="203" t="s">
        <v>786</v>
      </c>
      <c r="I32" s="203" t="s">
        <v>296</v>
      </c>
      <c r="J32" s="203" t="s">
        <v>926</v>
      </c>
      <c r="K32" s="203" t="s">
        <v>922</v>
      </c>
      <c r="L32" s="883"/>
    </row>
    <row r="33" spans="1:12">
      <c r="A33" s="203" t="s">
        <v>927</v>
      </c>
      <c r="B33" s="203" t="s">
        <v>928</v>
      </c>
      <c r="C33" s="203" t="s">
        <v>929</v>
      </c>
      <c r="D33" s="203" t="s">
        <v>120</v>
      </c>
      <c r="E33" s="203" t="s">
        <v>783</v>
      </c>
      <c r="F33" s="203" t="s">
        <v>930</v>
      </c>
      <c r="G33" s="203" t="s">
        <v>931</v>
      </c>
      <c r="H33" s="203" t="s">
        <v>786</v>
      </c>
      <c r="I33" s="203" t="s">
        <v>296</v>
      </c>
      <c r="J33" s="203" t="s">
        <v>932</v>
      </c>
      <c r="K33" s="203" t="s">
        <v>933</v>
      </c>
      <c r="L33" s="883">
        <f>J33+J34</f>
        <v>652730</v>
      </c>
    </row>
    <row r="34" spans="1:12">
      <c r="A34" s="203" t="s">
        <v>934</v>
      </c>
      <c r="B34" s="203" t="s">
        <v>935</v>
      </c>
      <c r="C34" s="203" t="s">
        <v>936</v>
      </c>
      <c r="D34" s="203" t="s">
        <v>120</v>
      </c>
      <c r="E34" s="203" t="s">
        <v>783</v>
      </c>
      <c r="F34" s="203" t="s">
        <v>930</v>
      </c>
      <c r="G34" s="203" t="s">
        <v>931</v>
      </c>
      <c r="H34" s="203" t="s">
        <v>786</v>
      </c>
      <c r="I34" s="203" t="s">
        <v>296</v>
      </c>
      <c r="J34" s="203" t="s">
        <v>937</v>
      </c>
      <c r="K34" s="203" t="s">
        <v>933</v>
      </c>
      <c r="L34" s="883"/>
    </row>
    <row r="35" spans="1:12">
      <c r="A35" s="203" t="s">
        <v>938</v>
      </c>
      <c r="B35" s="203" t="s">
        <v>939</v>
      </c>
      <c r="C35" s="203" t="s">
        <v>940</v>
      </c>
      <c r="D35" s="203" t="s">
        <v>120</v>
      </c>
      <c r="E35" s="203" t="s">
        <v>783</v>
      </c>
      <c r="F35" s="203" t="s">
        <v>941</v>
      </c>
      <c r="G35" s="203" t="s">
        <v>889</v>
      </c>
      <c r="H35" s="203" t="s">
        <v>831</v>
      </c>
      <c r="I35" s="203" t="s">
        <v>296</v>
      </c>
      <c r="J35" s="203" t="s">
        <v>942</v>
      </c>
      <c r="K35" s="203" t="s">
        <v>943</v>
      </c>
      <c r="L35" s="205" t="str">
        <f>J35</f>
        <v>144570.00</v>
      </c>
    </row>
    <row r="36" spans="1:12">
      <c r="A36" s="203" t="s">
        <v>944</v>
      </c>
      <c r="B36" s="203" t="s">
        <v>945</v>
      </c>
      <c r="C36" s="203" t="s">
        <v>874</v>
      </c>
      <c r="D36" s="203" t="s">
        <v>120</v>
      </c>
      <c r="E36" s="203" t="s">
        <v>783</v>
      </c>
      <c r="F36" s="203" t="s">
        <v>946</v>
      </c>
      <c r="G36" s="203" t="s">
        <v>947</v>
      </c>
      <c r="H36" s="203" t="s">
        <v>948</v>
      </c>
      <c r="I36" s="203" t="s">
        <v>296</v>
      </c>
      <c r="J36" s="203" t="s">
        <v>949</v>
      </c>
      <c r="K36" s="203" t="s">
        <v>950</v>
      </c>
      <c r="L36" s="883">
        <f>J36+J37</f>
        <v>211669</v>
      </c>
    </row>
    <row r="37" spans="1:12">
      <c r="A37" s="203" t="s">
        <v>951</v>
      </c>
      <c r="B37" s="203" t="s">
        <v>952</v>
      </c>
      <c r="C37" s="203" t="s">
        <v>953</v>
      </c>
      <c r="D37" s="203" t="s">
        <v>120</v>
      </c>
      <c r="E37" s="203" t="s">
        <v>783</v>
      </c>
      <c r="F37" s="203" t="s">
        <v>946</v>
      </c>
      <c r="G37" s="203" t="s">
        <v>947</v>
      </c>
      <c r="H37" s="203" t="s">
        <v>948</v>
      </c>
      <c r="I37" s="203" t="s">
        <v>296</v>
      </c>
      <c r="J37" s="203" t="s">
        <v>954</v>
      </c>
      <c r="K37" s="203" t="s">
        <v>950</v>
      </c>
      <c r="L37" s="883"/>
    </row>
    <row r="38" spans="1:12">
      <c r="A38" s="203" t="s">
        <v>955</v>
      </c>
      <c r="B38" s="203" t="s">
        <v>956</v>
      </c>
      <c r="C38" s="203" t="s">
        <v>957</v>
      </c>
      <c r="D38" s="203" t="s">
        <v>120</v>
      </c>
      <c r="E38" s="203" t="s">
        <v>783</v>
      </c>
      <c r="F38" s="203" t="s">
        <v>930</v>
      </c>
      <c r="G38" s="203" t="s">
        <v>931</v>
      </c>
      <c r="H38" s="203" t="s">
        <v>786</v>
      </c>
      <c r="I38" s="203" t="s">
        <v>296</v>
      </c>
      <c r="J38" s="203" t="s">
        <v>958</v>
      </c>
      <c r="K38" s="203" t="s">
        <v>959</v>
      </c>
      <c r="L38" s="883">
        <f>J38+J39</f>
        <v>810750</v>
      </c>
    </row>
    <row r="39" spans="1:12">
      <c r="A39" s="203" t="s">
        <v>960</v>
      </c>
      <c r="B39" s="203" t="s">
        <v>961</v>
      </c>
      <c r="C39" s="203" t="s">
        <v>795</v>
      </c>
      <c r="D39" s="203" t="s">
        <v>120</v>
      </c>
      <c r="E39" s="203" t="s">
        <v>783</v>
      </c>
      <c r="F39" s="203" t="s">
        <v>930</v>
      </c>
      <c r="G39" s="203" t="s">
        <v>931</v>
      </c>
      <c r="H39" s="203" t="s">
        <v>786</v>
      </c>
      <c r="I39" s="203" t="s">
        <v>296</v>
      </c>
      <c r="J39" s="203" t="s">
        <v>962</v>
      </c>
      <c r="K39" s="203" t="s">
        <v>959</v>
      </c>
      <c r="L39" s="883"/>
    </row>
    <row r="40" spans="1:12">
      <c r="A40" s="203" t="s">
        <v>963</v>
      </c>
      <c r="B40" s="203" t="s">
        <v>964</v>
      </c>
      <c r="C40" s="203" t="s">
        <v>965</v>
      </c>
      <c r="D40" s="203" t="s">
        <v>120</v>
      </c>
      <c r="E40" s="203" t="s">
        <v>783</v>
      </c>
      <c r="F40" s="203" t="s">
        <v>829</v>
      </c>
      <c r="G40" s="203" t="s">
        <v>830</v>
      </c>
      <c r="H40" s="203" t="s">
        <v>831</v>
      </c>
      <c r="I40" s="203" t="s">
        <v>296</v>
      </c>
      <c r="J40" s="203" t="s">
        <v>966</v>
      </c>
      <c r="K40" s="203" t="s">
        <v>967</v>
      </c>
      <c r="L40" s="883">
        <f>J40+J41+J42</f>
        <v>108906</v>
      </c>
    </row>
    <row r="41" spans="1:12">
      <c r="A41" s="203" t="s">
        <v>968</v>
      </c>
      <c r="B41" s="203" t="s">
        <v>969</v>
      </c>
      <c r="C41" s="203" t="s">
        <v>878</v>
      </c>
      <c r="D41" s="203" t="s">
        <v>120</v>
      </c>
      <c r="E41" s="203" t="s">
        <v>783</v>
      </c>
      <c r="F41" s="203" t="s">
        <v>829</v>
      </c>
      <c r="G41" s="203" t="s">
        <v>830</v>
      </c>
      <c r="H41" s="203" t="s">
        <v>831</v>
      </c>
      <c r="I41" s="203" t="s">
        <v>296</v>
      </c>
      <c r="J41" s="203" t="s">
        <v>970</v>
      </c>
      <c r="K41" s="203" t="s">
        <v>967</v>
      </c>
      <c r="L41" s="883"/>
    </row>
    <row r="42" spans="1:12">
      <c r="A42" s="203" t="s">
        <v>971</v>
      </c>
      <c r="B42" s="203" t="s">
        <v>972</v>
      </c>
      <c r="C42" s="203" t="s">
        <v>878</v>
      </c>
      <c r="D42" s="203" t="s">
        <v>120</v>
      </c>
      <c r="E42" s="203" t="s">
        <v>783</v>
      </c>
      <c r="F42" s="203" t="s">
        <v>829</v>
      </c>
      <c r="G42" s="203" t="s">
        <v>830</v>
      </c>
      <c r="H42" s="203" t="s">
        <v>831</v>
      </c>
      <c r="I42" s="203" t="s">
        <v>296</v>
      </c>
      <c r="J42" s="203" t="s">
        <v>973</v>
      </c>
      <c r="K42" s="203" t="s">
        <v>967</v>
      </c>
      <c r="L42" s="883"/>
    </row>
    <row r="43" spans="1:12">
      <c r="A43" s="203" t="s">
        <v>974</v>
      </c>
      <c r="B43" s="203" t="s">
        <v>975</v>
      </c>
      <c r="C43" s="203" t="s">
        <v>976</v>
      </c>
      <c r="D43" s="203" t="s">
        <v>120</v>
      </c>
      <c r="E43" s="203" t="s">
        <v>783</v>
      </c>
      <c r="F43" s="203" t="s">
        <v>829</v>
      </c>
      <c r="G43" s="203" t="s">
        <v>830</v>
      </c>
      <c r="H43" s="203" t="s">
        <v>831</v>
      </c>
      <c r="I43" s="203" t="s">
        <v>296</v>
      </c>
      <c r="J43" s="203" t="s">
        <v>977</v>
      </c>
      <c r="K43" s="203" t="s">
        <v>978</v>
      </c>
      <c r="L43" s="883">
        <f>J43+J44</f>
        <v>91461</v>
      </c>
    </row>
    <row r="44" spans="1:12">
      <c r="A44" s="203" t="s">
        <v>979</v>
      </c>
      <c r="B44" s="203" t="s">
        <v>980</v>
      </c>
      <c r="C44" s="203" t="s">
        <v>981</v>
      </c>
      <c r="D44" s="203" t="s">
        <v>120</v>
      </c>
      <c r="E44" s="203" t="s">
        <v>783</v>
      </c>
      <c r="F44" s="203" t="s">
        <v>829</v>
      </c>
      <c r="G44" s="203" t="s">
        <v>830</v>
      </c>
      <c r="H44" s="203" t="s">
        <v>831</v>
      </c>
      <c r="I44" s="203" t="s">
        <v>296</v>
      </c>
      <c r="J44" s="203" t="s">
        <v>982</v>
      </c>
      <c r="K44" s="203" t="s">
        <v>978</v>
      </c>
      <c r="L44" s="883"/>
    </row>
    <row r="45" spans="1:12">
      <c r="A45" s="203" t="s">
        <v>983</v>
      </c>
      <c r="B45" s="203" t="s">
        <v>984</v>
      </c>
      <c r="C45" s="203" t="s">
        <v>985</v>
      </c>
      <c r="D45" s="203" t="s">
        <v>120</v>
      </c>
      <c r="E45" s="203" t="s">
        <v>783</v>
      </c>
      <c r="F45" s="203" t="s">
        <v>986</v>
      </c>
      <c r="G45" s="203" t="s">
        <v>865</v>
      </c>
      <c r="H45" s="203" t="s">
        <v>786</v>
      </c>
      <c r="I45" s="203" t="s">
        <v>296</v>
      </c>
      <c r="J45" s="203" t="s">
        <v>987</v>
      </c>
      <c r="K45" s="203" t="s">
        <v>988</v>
      </c>
      <c r="L45" s="205" t="str">
        <f>J45</f>
        <v>219970.00</v>
      </c>
    </row>
    <row r="46" spans="1:12">
      <c r="A46" s="203" t="s">
        <v>989</v>
      </c>
      <c r="B46" s="203" t="s">
        <v>990</v>
      </c>
      <c r="C46" s="203" t="s">
        <v>991</v>
      </c>
      <c r="D46" s="203" t="s">
        <v>120</v>
      </c>
      <c r="E46" s="203" t="s">
        <v>783</v>
      </c>
      <c r="F46" s="203" t="s">
        <v>796</v>
      </c>
      <c r="G46" s="203" t="s">
        <v>797</v>
      </c>
      <c r="H46" s="203" t="s">
        <v>786</v>
      </c>
      <c r="I46" s="203" t="s">
        <v>296</v>
      </c>
      <c r="J46" s="203" t="s">
        <v>992</v>
      </c>
      <c r="K46" s="203" t="s">
        <v>993</v>
      </c>
      <c r="L46" s="205" t="str">
        <f>J46</f>
        <v>110250.00</v>
      </c>
    </row>
    <row r="47" spans="1:12">
      <c r="A47" s="203" t="s">
        <v>994</v>
      </c>
      <c r="B47" s="203" t="s">
        <v>995</v>
      </c>
      <c r="C47" s="203" t="s">
        <v>991</v>
      </c>
      <c r="D47" s="203" t="s">
        <v>120</v>
      </c>
      <c r="E47" s="203" t="s">
        <v>783</v>
      </c>
      <c r="F47" s="203" t="s">
        <v>796</v>
      </c>
      <c r="G47" s="203" t="s">
        <v>797</v>
      </c>
      <c r="H47" s="203" t="s">
        <v>786</v>
      </c>
      <c r="I47" s="203" t="s">
        <v>296</v>
      </c>
      <c r="J47" s="203" t="s">
        <v>996</v>
      </c>
      <c r="K47" s="203" t="s">
        <v>997</v>
      </c>
      <c r="L47" s="205" t="str">
        <f>J47</f>
        <v>127627.00</v>
      </c>
    </row>
    <row r="48" spans="1:12">
      <c r="A48" s="203" t="s">
        <v>998</v>
      </c>
      <c r="B48" s="203" t="s">
        <v>999</v>
      </c>
      <c r="C48" s="203" t="s">
        <v>1000</v>
      </c>
      <c r="D48" s="203" t="s">
        <v>120</v>
      </c>
      <c r="E48" s="203" t="s">
        <v>783</v>
      </c>
      <c r="F48" s="203" t="s">
        <v>796</v>
      </c>
      <c r="G48" s="203" t="s">
        <v>797</v>
      </c>
      <c r="H48" s="203" t="s">
        <v>786</v>
      </c>
      <c r="I48" s="203" t="s">
        <v>296</v>
      </c>
      <c r="J48" s="203" t="s">
        <v>1001</v>
      </c>
      <c r="K48" s="203" t="s">
        <v>1002</v>
      </c>
      <c r="L48" s="883">
        <f>J48+J49</f>
        <v>213468</v>
      </c>
    </row>
    <row r="49" spans="1:12">
      <c r="A49" s="203" t="s">
        <v>1003</v>
      </c>
      <c r="B49" s="203" t="s">
        <v>1004</v>
      </c>
      <c r="C49" s="203" t="s">
        <v>981</v>
      </c>
      <c r="D49" s="203" t="s">
        <v>120</v>
      </c>
      <c r="E49" s="203" t="s">
        <v>783</v>
      </c>
      <c r="F49" s="203" t="s">
        <v>796</v>
      </c>
      <c r="G49" s="203" t="s">
        <v>797</v>
      </c>
      <c r="H49" s="203" t="s">
        <v>786</v>
      </c>
      <c r="I49" s="203" t="s">
        <v>296</v>
      </c>
      <c r="J49" s="203" t="s">
        <v>1005</v>
      </c>
      <c r="K49" s="203" t="s">
        <v>1002</v>
      </c>
      <c r="L49" s="883"/>
    </row>
    <row r="50" spans="1:12">
      <c r="A50" s="203" t="s">
        <v>1006</v>
      </c>
      <c r="B50" s="203" t="s">
        <v>1007</v>
      </c>
      <c r="C50" s="203" t="s">
        <v>1008</v>
      </c>
      <c r="D50" s="203" t="s">
        <v>120</v>
      </c>
      <c r="E50" s="203" t="s">
        <v>783</v>
      </c>
      <c r="F50" s="203" t="s">
        <v>1009</v>
      </c>
      <c r="G50" s="203" t="s">
        <v>1010</v>
      </c>
      <c r="H50" s="203" t="s">
        <v>786</v>
      </c>
      <c r="I50" s="203" t="s">
        <v>296</v>
      </c>
      <c r="J50" s="203" t="s">
        <v>1011</v>
      </c>
      <c r="K50" s="203" t="s">
        <v>1012</v>
      </c>
      <c r="L50" s="205" t="str">
        <f>J50</f>
        <v>265313.00</v>
      </c>
    </row>
    <row r="51" spans="1:12">
      <c r="A51" s="203" t="s">
        <v>1013</v>
      </c>
      <c r="B51" s="203" t="s">
        <v>1014</v>
      </c>
      <c r="C51" s="203" t="s">
        <v>870</v>
      </c>
      <c r="D51" s="203" t="s">
        <v>120</v>
      </c>
      <c r="E51" s="203" t="s">
        <v>783</v>
      </c>
      <c r="F51" s="203" t="s">
        <v>902</v>
      </c>
      <c r="G51" s="203" t="s">
        <v>903</v>
      </c>
      <c r="H51" s="203" t="s">
        <v>786</v>
      </c>
      <c r="I51" s="203" t="s">
        <v>296</v>
      </c>
      <c r="J51" s="203" t="s">
        <v>1015</v>
      </c>
      <c r="K51" s="203" t="s">
        <v>1016</v>
      </c>
      <c r="L51" s="883">
        <f>J51+J52</f>
        <v>125677</v>
      </c>
    </row>
    <row r="52" spans="1:12">
      <c r="A52" s="203" t="s">
        <v>1017</v>
      </c>
      <c r="B52" s="203" t="s">
        <v>1018</v>
      </c>
      <c r="C52" s="203" t="s">
        <v>795</v>
      </c>
      <c r="D52" s="203" t="s">
        <v>120</v>
      </c>
      <c r="E52" s="203" t="s">
        <v>783</v>
      </c>
      <c r="F52" s="203" t="s">
        <v>902</v>
      </c>
      <c r="G52" s="203" t="s">
        <v>903</v>
      </c>
      <c r="H52" s="203" t="s">
        <v>786</v>
      </c>
      <c r="I52" s="203" t="s">
        <v>296</v>
      </c>
      <c r="J52" s="203" t="s">
        <v>1019</v>
      </c>
      <c r="K52" s="203" t="s">
        <v>1016</v>
      </c>
      <c r="L52" s="883"/>
    </row>
  </sheetData>
  <mergeCells count="18">
    <mergeCell ref="L43:L44"/>
    <mergeCell ref="L48:L49"/>
    <mergeCell ref="L51:L52"/>
    <mergeCell ref="L31:L32"/>
    <mergeCell ref="L33:L34"/>
    <mergeCell ref="L36:L37"/>
    <mergeCell ref="L38:L39"/>
    <mergeCell ref="L40:L42"/>
    <mergeCell ref="L13:L16"/>
    <mergeCell ref="L17:L18"/>
    <mergeCell ref="L19:L22"/>
    <mergeCell ref="L24:L26"/>
    <mergeCell ref="L27:L29"/>
    <mergeCell ref="A1:K1"/>
    <mergeCell ref="L3:L4"/>
    <mergeCell ref="L5:L7"/>
    <mergeCell ref="L9:L10"/>
    <mergeCell ref="L11:L12"/>
  </mergeCells>
  <phoneticPr fontId="92" type="noConversion"/>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dimension ref="A1:H55"/>
  <sheetViews>
    <sheetView topLeftCell="A40" workbookViewId="0">
      <selection activeCell="E19" sqref="E19"/>
    </sheetView>
  </sheetViews>
  <sheetFormatPr defaultColWidth="8.875" defaultRowHeight="13.5"/>
  <cols>
    <col min="1" max="1" width="25.125" style="197" customWidth="1"/>
    <col min="2" max="2" width="16.375" style="198" customWidth="1"/>
    <col min="3" max="3" width="27.125" style="198" customWidth="1"/>
    <col min="4" max="4" width="12.625" style="198" customWidth="1"/>
    <col min="5" max="6" width="13.625" style="198" customWidth="1"/>
    <col min="7" max="7" width="18.875" style="198" customWidth="1"/>
    <col min="8" max="8" width="17" style="198" customWidth="1"/>
    <col min="9" max="16384" width="8.875" style="197"/>
  </cols>
  <sheetData>
    <row r="1" spans="1:8" ht="20.100000000000001" customHeight="1">
      <c r="A1" s="849" t="s">
        <v>2</v>
      </c>
      <c r="B1" s="849" t="s">
        <v>365</v>
      </c>
      <c r="C1" s="849"/>
      <c r="D1" s="849"/>
      <c r="E1" s="849"/>
      <c r="F1" s="849"/>
      <c r="G1" s="849"/>
      <c r="H1" s="849"/>
    </row>
    <row r="2" spans="1:8" ht="30" customHeight="1">
      <c r="A2" s="849"/>
      <c r="B2" s="199" t="s">
        <v>367</v>
      </c>
      <c r="C2" s="199" t="s">
        <v>332</v>
      </c>
      <c r="D2" s="199" t="s">
        <v>368</v>
      </c>
      <c r="E2" s="199" t="s">
        <v>1020</v>
      </c>
      <c r="F2" s="871" t="s">
        <v>1021</v>
      </c>
      <c r="G2" s="199" t="s">
        <v>1022</v>
      </c>
      <c r="H2" s="871" t="s">
        <v>672</v>
      </c>
    </row>
    <row r="3" spans="1:8" ht="36.950000000000003" customHeight="1">
      <c r="A3" s="849" t="s">
        <v>122</v>
      </c>
      <c r="B3" s="871" t="s">
        <v>1023</v>
      </c>
      <c r="C3" s="871" t="s">
        <v>1024</v>
      </c>
      <c r="D3" s="871" t="s">
        <v>411</v>
      </c>
      <c r="E3" s="871" t="s">
        <v>1025</v>
      </c>
      <c r="F3" s="873"/>
      <c r="G3" s="871" t="s">
        <v>1026</v>
      </c>
      <c r="H3" s="873"/>
    </row>
    <row r="4" spans="1:8" ht="20.100000000000001" customHeight="1">
      <c r="A4" s="849"/>
      <c r="B4" s="872"/>
      <c r="C4" s="872"/>
      <c r="D4" s="872"/>
      <c r="E4" s="872"/>
      <c r="F4" s="199">
        <v>124666.72</v>
      </c>
      <c r="G4" s="872"/>
      <c r="H4" s="871">
        <f>SUM(F4:F26)</f>
        <v>1462708.0000000002</v>
      </c>
    </row>
    <row r="5" spans="1:8" ht="20.100000000000001" customHeight="1">
      <c r="A5" s="849"/>
      <c r="B5" s="872"/>
      <c r="C5" s="872"/>
      <c r="D5" s="872"/>
      <c r="E5" s="872"/>
      <c r="F5" s="199">
        <v>59018.82</v>
      </c>
      <c r="G5" s="872"/>
      <c r="H5" s="872"/>
    </row>
    <row r="6" spans="1:8" ht="20.100000000000001" customHeight="1">
      <c r="A6" s="849"/>
      <c r="B6" s="872"/>
      <c r="C6" s="872"/>
      <c r="D6" s="872"/>
      <c r="E6" s="872"/>
      <c r="F6" s="199">
        <v>33636.01</v>
      </c>
      <c r="G6" s="872"/>
      <c r="H6" s="872"/>
    </row>
    <row r="7" spans="1:8" ht="20.100000000000001" customHeight="1">
      <c r="A7" s="849"/>
      <c r="B7" s="872"/>
      <c r="C7" s="872"/>
      <c r="D7" s="872"/>
      <c r="E7" s="872"/>
      <c r="F7" s="199">
        <v>33577.58</v>
      </c>
      <c r="G7" s="872"/>
      <c r="H7" s="872"/>
    </row>
    <row r="8" spans="1:8" ht="20.100000000000001" customHeight="1">
      <c r="A8" s="849"/>
      <c r="B8" s="872"/>
      <c r="C8" s="872"/>
      <c r="D8" s="872"/>
      <c r="E8" s="872"/>
      <c r="F8" s="199">
        <v>91274.39</v>
      </c>
      <c r="G8" s="872"/>
      <c r="H8" s="872"/>
    </row>
    <row r="9" spans="1:8" ht="20.100000000000001" customHeight="1">
      <c r="A9" s="849"/>
      <c r="B9" s="872"/>
      <c r="C9" s="872"/>
      <c r="D9" s="872"/>
      <c r="E9" s="872"/>
      <c r="F9" s="199">
        <v>39510.03</v>
      </c>
      <c r="G9" s="872"/>
      <c r="H9" s="872"/>
    </row>
    <row r="10" spans="1:8" ht="20.100000000000001" customHeight="1">
      <c r="A10" s="849"/>
      <c r="B10" s="872"/>
      <c r="C10" s="872"/>
      <c r="D10" s="872"/>
      <c r="E10" s="872"/>
      <c r="F10" s="199">
        <v>72109.42</v>
      </c>
      <c r="G10" s="872"/>
      <c r="H10" s="872"/>
    </row>
    <row r="11" spans="1:8" ht="20.100000000000001" customHeight="1">
      <c r="A11" s="849"/>
      <c r="B11" s="872"/>
      <c r="C11" s="872"/>
      <c r="D11" s="872"/>
      <c r="E11" s="872"/>
      <c r="F11" s="199">
        <v>42126.92</v>
      </c>
      <c r="G11" s="872"/>
      <c r="H11" s="872"/>
    </row>
    <row r="12" spans="1:8" ht="20.100000000000001" customHeight="1">
      <c r="A12" s="849"/>
      <c r="B12" s="872"/>
      <c r="C12" s="872"/>
      <c r="D12" s="872"/>
      <c r="E12" s="872"/>
      <c r="F12" s="199">
        <v>64553.09</v>
      </c>
      <c r="G12" s="872"/>
      <c r="H12" s="872"/>
    </row>
    <row r="13" spans="1:8" ht="20.100000000000001" customHeight="1">
      <c r="A13" s="849"/>
      <c r="B13" s="872"/>
      <c r="C13" s="872"/>
      <c r="D13" s="872"/>
      <c r="E13" s="872"/>
      <c r="F13" s="199">
        <v>84721.43</v>
      </c>
      <c r="G13" s="872"/>
      <c r="H13" s="872"/>
    </row>
    <row r="14" spans="1:8" ht="20.100000000000001" customHeight="1">
      <c r="A14" s="849"/>
      <c r="B14" s="872"/>
      <c r="C14" s="872"/>
      <c r="D14" s="872"/>
      <c r="E14" s="872"/>
      <c r="F14" s="199">
        <v>71209.72</v>
      </c>
      <c r="G14" s="872"/>
      <c r="H14" s="872"/>
    </row>
    <row r="15" spans="1:8" ht="20.100000000000001" customHeight="1">
      <c r="A15" s="849"/>
      <c r="B15" s="872"/>
      <c r="C15" s="872"/>
      <c r="D15" s="872"/>
      <c r="E15" s="872"/>
      <c r="F15" s="199">
        <v>70028.03</v>
      </c>
      <c r="G15" s="872"/>
      <c r="H15" s="872"/>
    </row>
    <row r="16" spans="1:8" ht="20.100000000000001" customHeight="1">
      <c r="A16" s="849"/>
      <c r="B16" s="872"/>
      <c r="C16" s="872"/>
      <c r="D16" s="872"/>
      <c r="E16" s="872"/>
      <c r="F16" s="199">
        <v>70410.649999999994</v>
      </c>
      <c r="G16" s="872"/>
      <c r="H16" s="872"/>
    </row>
    <row r="17" spans="1:8" ht="20.100000000000001" customHeight="1">
      <c r="A17" s="849"/>
      <c r="B17" s="872"/>
      <c r="C17" s="872"/>
      <c r="D17" s="872"/>
      <c r="E17" s="872"/>
      <c r="F17" s="199">
        <v>65366.19</v>
      </c>
      <c r="G17" s="872"/>
      <c r="H17" s="872"/>
    </row>
    <row r="18" spans="1:8" ht="20.100000000000001" customHeight="1">
      <c r="A18" s="849"/>
      <c r="B18" s="872"/>
      <c r="C18" s="872"/>
      <c r="D18" s="872"/>
      <c r="E18" s="872"/>
      <c r="F18" s="199">
        <v>33919.11</v>
      </c>
      <c r="G18" s="872"/>
      <c r="H18" s="872"/>
    </row>
    <row r="19" spans="1:8" ht="20.100000000000001" customHeight="1">
      <c r="A19" s="849"/>
      <c r="B19" s="872"/>
      <c r="C19" s="872"/>
      <c r="D19" s="872"/>
      <c r="E19" s="872"/>
      <c r="F19" s="199">
        <v>45071.82</v>
      </c>
      <c r="G19" s="872"/>
      <c r="H19" s="872"/>
    </row>
    <row r="20" spans="1:8" ht="20.100000000000001" customHeight="1">
      <c r="A20" s="849"/>
      <c r="B20" s="872"/>
      <c r="C20" s="872"/>
      <c r="D20" s="872"/>
      <c r="E20" s="872"/>
      <c r="F20" s="200">
        <v>68780.100000000006</v>
      </c>
      <c r="G20" s="872"/>
      <c r="H20" s="872"/>
    </row>
    <row r="21" spans="1:8" ht="20.100000000000001" customHeight="1">
      <c r="A21" s="849"/>
      <c r="B21" s="872"/>
      <c r="C21" s="872"/>
      <c r="D21" s="872"/>
      <c r="E21" s="872"/>
      <c r="F21" s="199">
        <v>122889.13</v>
      </c>
      <c r="G21" s="872"/>
      <c r="H21" s="872"/>
    </row>
    <row r="22" spans="1:8" ht="20.100000000000001" customHeight="1">
      <c r="A22" s="849"/>
      <c r="B22" s="872"/>
      <c r="C22" s="872"/>
      <c r="D22" s="872"/>
      <c r="E22" s="872"/>
      <c r="F22" s="199">
        <v>38521.35</v>
      </c>
      <c r="G22" s="872"/>
      <c r="H22" s="872"/>
    </row>
    <row r="23" spans="1:8" ht="20.100000000000001" customHeight="1">
      <c r="A23" s="849"/>
      <c r="B23" s="872"/>
      <c r="C23" s="872"/>
      <c r="D23" s="872"/>
      <c r="E23" s="872"/>
      <c r="F23" s="199">
        <v>26608.57</v>
      </c>
      <c r="G23" s="872"/>
      <c r="H23" s="872"/>
    </row>
    <row r="24" spans="1:8" ht="20.100000000000001" customHeight="1">
      <c r="A24" s="849"/>
      <c r="B24" s="872"/>
      <c r="C24" s="872"/>
      <c r="D24" s="872"/>
      <c r="E24" s="872"/>
      <c r="F24" s="199">
        <v>109326.22</v>
      </c>
      <c r="G24" s="872"/>
      <c r="H24" s="872"/>
    </row>
    <row r="25" spans="1:8" ht="20.100000000000001" customHeight="1">
      <c r="A25" s="849"/>
      <c r="B25" s="872"/>
      <c r="C25" s="872"/>
      <c r="D25" s="872"/>
      <c r="E25" s="872"/>
      <c r="F25" s="199">
        <v>45420.82</v>
      </c>
      <c r="G25" s="872"/>
      <c r="H25" s="872"/>
    </row>
    <row r="26" spans="1:8" ht="20.100000000000001" customHeight="1">
      <c r="A26" s="849"/>
      <c r="B26" s="873"/>
      <c r="C26" s="873"/>
      <c r="D26" s="873"/>
      <c r="E26" s="873"/>
      <c r="F26" s="199">
        <v>49961.88</v>
      </c>
      <c r="G26" s="873"/>
      <c r="H26" s="873"/>
    </row>
    <row r="27" spans="1:8" ht="20.100000000000001" customHeight="1">
      <c r="A27" s="871" t="s">
        <v>122</v>
      </c>
      <c r="B27" s="871" t="s">
        <v>1027</v>
      </c>
      <c r="C27" s="871" t="s">
        <v>1028</v>
      </c>
      <c r="D27" s="871" t="s">
        <v>459</v>
      </c>
      <c r="E27" s="871" t="s">
        <v>1029</v>
      </c>
      <c r="F27" s="199">
        <v>303908.71999999997</v>
      </c>
      <c r="G27" s="871" t="s">
        <v>1030</v>
      </c>
      <c r="H27" s="871">
        <f>SUM(F27:F33)</f>
        <v>1109178.9099999999</v>
      </c>
    </row>
    <row r="28" spans="1:8" ht="20.100000000000001" customHeight="1">
      <c r="A28" s="872"/>
      <c r="B28" s="872"/>
      <c r="C28" s="872"/>
      <c r="D28" s="872"/>
      <c r="E28" s="872"/>
      <c r="F28" s="199">
        <v>22542.76</v>
      </c>
      <c r="G28" s="872"/>
      <c r="H28" s="872"/>
    </row>
    <row r="29" spans="1:8" ht="20.100000000000001" customHeight="1">
      <c r="A29" s="872"/>
      <c r="B29" s="872"/>
      <c r="C29" s="872"/>
      <c r="D29" s="872"/>
      <c r="E29" s="872"/>
      <c r="F29" s="199">
        <v>36393.440000000002</v>
      </c>
      <c r="G29" s="872"/>
      <c r="H29" s="872"/>
    </row>
    <row r="30" spans="1:8" ht="20.100000000000001" customHeight="1">
      <c r="A30" s="872"/>
      <c r="B30" s="872"/>
      <c r="C30" s="872"/>
      <c r="D30" s="872"/>
      <c r="E30" s="872"/>
      <c r="F30" s="200">
        <v>148090.4</v>
      </c>
      <c r="G30" s="872"/>
      <c r="H30" s="872"/>
    </row>
    <row r="31" spans="1:8" ht="20.100000000000001" customHeight="1">
      <c r="A31" s="872"/>
      <c r="B31" s="872"/>
      <c r="C31" s="872"/>
      <c r="D31" s="872"/>
      <c r="E31" s="872"/>
      <c r="F31" s="200">
        <v>364571.6</v>
      </c>
      <c r="G31" s="872"/>
      <c r="H31" s="872"/>
    </row>
    <row r="32" spans="1:8" ht="20.100000000000001" customHeight="1">
      <c r="A32" s="872"/>
      <c r="B32" s="872"/>
      <c r="C32" s="872"/>
      <c r="D32" s="872"/>
      <c r="E32" s="872"/>
      <c r="F32" s="199">
        <v>112516.52</v>
      </c>
      <c r="G32" s="872"/>
      <c r="H32" s="872"/>
    </row>
    <row r="33" spans="1:8" ht="20.100000000000001" customHeight="1">
      <c r="A33" s="872"/>
      <c r="B33" s="872"/>
      <c r="C33" s="872"/>
      <c r="D33" s="872"/>
      <c r="E33" s="872"/>
      <c r="F33" s="199">
        <v>121155.47</v>
      </c>
      <c r="G33" s="872"/>
      <c r="H33" s="873"/>
    </row>
    <row r="34" spans="1:8" ht="20.100000000000001" customHeight="1">
      <c r="A34" s="871" t="s">
        <v>122</v>
      </c>
      <c r="B34" s="871" t="s">
        <v>1031</v>
      </c>
      <c r="C34" s="871" t="s">
        <v>1028</v>
      </c>
      <c r="D34" s="871" t="s">
        <v>459</v>
      </c>
      <c r="E34" s="871" t="s">
        <v>1032</v>
      </c>
      <c r="F34" s="199">
        <v>297357.36</v>
      </c>
      <c r="G34" s="871" t="s">
        <v>1033</v>
      </c>
      <c r="H34" s="871">
        <f>SUM(F34:F41)</f>
        <v>2467366.58</v>
      </c>
    </row>
    <row r="35" spans="1:8" ht="20.100000000000001" customHeight="1">
      <c r="A35" s="872"/>
      <c r="B35" s="872"/>
      <c r="C35" s="872"/>
      <c r="D35" s="872"/>
      <c r="E35" s="872"/>
      <c r="F35" s="199">
        <v>244641.44</v>
      </c>
      <c r="G35" s="872"/>
      <c r="H35" s="872"/>
    </row>
    <row r="36" spans="1:8" ht="20.100000000000001" customHeight="1">
      <c r="A36" s="872"/>
      <c r="B36" s="872"/>
      <c r="C36" s="872"/>
      <c r="D36" s="872"/>
      <c r="E36" s="872"/>
      <c r="F36" s="199">
        <v>257063.28</v>
      </c>
      <c r="G36" s="872"/>
      <c r="H36" s="872"/>
    </row>
    <row r="37" spans="1:8" ht="20.100000000000001" customHeight="1">
      <c r="A37" s="872"/>
      <c r="B37" s="872"/>
      <c r="C37" s="872"/>
      <c r="D37" s="872"/>
      <c r="E37" s="872"/>
      <c r="F37" s="199">
        <v>418064.72</v>
      </c>
      <c r="G37" s="872"/>
      <c r="H37" s="872"/>
    </row>
    <row r="38" spans="1:8" ht="20.100000000000001" customHeight="1">
      <c r="A38" s="872"/>
      <c r="B38" s="872"/>
      <c r="C38" s="872"/>
      <c r="D38" s="872"/>
      <c r="E38" s="872"/>
      <c r="F38" s="199">
        <v>421466.24</v>
      </c>
      <c r="G38" s="872"/>
      <c r="H38" s="872"/>
    </row>
    <row r="39" spans="1:8" ht="20.100000000000001" customHeight="1">
      <c r="A39" s="872"/>
      <c r="B39" s="872"/>
      <c r="C39" s="872"/>
      <c r="D39" s="872"/>
      <c r="E39" s="872"/>
      <c r="F39" s="199">
        <v>421701.44</v>
      </c>
      <c r="G39" s="872"/>
      <c r="H39" s="872"/>
    </row>
    <row r="40" spans="1:8" ht="20.100000000000001" customHeight="1">
      <c r="A40" s="872"/>
      <c r="B40" s="872"/>
      <c r="C40" s="872"/>
      <c r="D40" s="872"/>
      <c r="E40" s="872"/>
      <c r="F40" s="200">
        <v>28564</v>
      </c>
      <c r="G40" s="872"/>
      <c r="H40" s="872"/>
    </row>
    <row r="41" spans="1:8" ht="20.100000000000001" customHeight="1">
      <c r="A41" s="873"/>
      <c r="B41" s="873"/>
      <c r="C41" s="873"/>
      <c r="D41" s="873"/>
      <c r="E41" s="873"/>
      <c r="F41" s="200">
        <v>378508.1</v>
      </c>
      <c r="G41" s="873"/>
      <c r="H41" s="873"/>
    </row>
    <row r="42" spans="1:8" ht="20.100000000000001" customHeight="1">
      <c r="A42" s="201" t="s">
        <v>122</v>
      </c>
      <c r="B42" s="199" t="s">
        <v>1034</v>
      </c>
      <c r="C42" s="199" t="s">
        <v>1035</v>
      </c>
      <c r="D42" s="199" t="s">
        <v>441</v>
      </c>
      <c r="E42" s="199" t="s">
        <v>1036</v>
      </c>
      <c r="F42" s="199">
        <v>50132.33</v>
      </c>
      <c r="G42" s="199" t="s">
        <v>1037</v>
      </c>
      <c r="H42" s="199">
        <v>50132.33</v>
      </c>
    </row>
    <row r="43" spans="1:8" ht="20.100000000000001" customHeight="1">
      <c r="A43" s="871" t="s">
        <v>122</v>
      </c>
      <c r="B43" s="871" t="s">
        <v>1038</v>
      </c>
      <c r="C43" s="871" t="s">
        <v>1039</v>
      </c>
      <c r="D43" s="871" t="s">
        <v>1040</v>
      </c>
      <c r="E43" s="871" t="s">
        <v>1041</v>
      </c>
      <c r="F43" s="199">
        <v>82238.12</v>
      </c>
      <c r="G43" s="871" t="s">
        <v>1042</v>
      </c>
      <c r="H43" s="871">
        <f>SUM(F43:F48)</f>
        <v>435455.66</v>
      </c>
    </row>
    <row r="44" spans="1:8" ht="20.100000000000001" customHeight="1">
      <c r="A44" s="872"/>
      <c r="B44" s="872"/>
      <c r="C44" s="872"/>
      <c r="D44" s="872"/>
      <c r="E44" s="872"/>
      <c r="F44" s="199">
        <v>110037.78</v>
      </c>
      <c r="G44" s="872"/>
      <c r="H44" s="872"/>
    </row>
    <row r="45" spans="1:8" ht="20.100000000000001" customHeight="1">
      <c r="A45" s="872"/>
      <c r="B45" s="872"/>
      <c r="C45" s="872"/>
      <c r="D45" s="872"/>
      <c r="E45" s="872"/>
      <c r="F45" s="199">
        <v>47639.85</v>
      </c>
      <c r="G45" s="872"/>
      <c r="H45" s="872"/>
    </row>
    <row r="46" spans="1:8" ht="20.100000000000001" customHeight="1">
      <c r="A46" s="872"/>
      <c r="B46" s="872"/>
      <c r="C46" s="872"/>
      <c r="D46" s="872"/>
      <c r="E46" s="872"/>
      <c r="F46" s="199">
        <v>5938.06</v>
      </c>
      <c r="G46" s="872"/>
      <c r="H46" s="872"/>
    </row>
    <row r="47" spans="1:8" ht="20.100000000000001" customHeight="1">
      <c r="A47" s="872"/>
      <c r="B47" s="872"/>
      <c r="C47" s="872"/>
      <c r="D47" s="872"/>
      <c r="E47" s="872"/>
      <c r="F47" s="199">
        <v>63776.17</v>
      </c>
      <c r="G47" s="872"/>
      <c r="H47" s="872"/>
    </row>
    <row r="48" spans="1:8" ht="20.100000000000001" customHeight="1">
      <c r="A48" s="873"/>
      <c r="B48" s="873"/>
      <c r="C48" s="873"/>
      <c r="D48" s="873"/>
      <c r="E48" s="873"/>
      <c r="F48" s="199">
        <v>125825.68</v>
      </c>
      <c r="G48" s="873"/>
      <c r="H48" s="873"/>
    </row>
    <row r="49" spans="1:8" ht="20.100000000000001" customHeight="1">
      <c r="A49" s="871" t="s">
        <v>122</v>
      </c>
      <c r="B49" s="871" t="s">
        <v>1043</v>
      </c>
      <c r="C49" s="871" t="s">
        <v>1044</v>
      </c>
      <c r="D49" s="871" t="s">
        <v>411</v>
      </c>
      <c r="E49" s="871" t="s">
        <v>1045</v>
      </c>
      <c r="F49" s="199">
        <v>5923.84</v>
      </c>
      <c r="G49" s="871" t="s">
        <v>1046</v>
      </c>
      <c r="H49" s="871">
        <f>SUM(F49:F51)</f>
        <v>32046.04</v>
      </c>
    </row>
    <row r="50" spans="1:8" ht="20.100000000000001" customHeight="1">
      <c r="A50" s="872"/>
      <c r="B50" s="872"/>
      <c r="C50" s="872"/>
      <c r="D50" s="872"/>
      <c r="E50" s="872"/>
      <c r="F50" s="200">
        <v>15238</v>
      </c>
      <c r="G50" s="872"/>
      <c r="H50" s="872"/>
    </row>
    <row r="51" spans="1:8" ht="20.100000000000001" customHeight="1">
      <c r="A51" s="873"/>
      <c r="B51" s="873"/>
      <c r="C51" s="873"/>
      <c r="D51" s="873"/>
      <c r="E51" s="873"/>
      <c r="F51" s="200">
        <v>10884.2</v>
      </c>
      <c r="G51" s="873"/>
      <c r="H51" s="873"/>
    </row>
    <row r="52" spans="1:8" ht="20.100000000000001" customHeight="1">
      <c r="A52" s="871" t="s">
        <v>122</v>
      </c>
      <c r="B52" s="871" t="s">
        <v>1047</v>
      </c>
      <c r="C52" s="871" t="s">
        <v>1044</v>
      </c>
      <c r="D52" s="871" t="s">
        <v>411</v>
      </c>
      <c r="E52" s="871" t="s">
        <v>1048</v>
      </c>
      <c r="F52" s="199">
        <v>39929.660000000003</v>
      </c>
      <c r="G52" s="871" t="s">
        <v>1049</v>
      </c>
      <c r="H52" s="871">
        <f>SUM(F52:F54)</f>
        <v>72628.899999999994</v>
      </c>
    </row>
    <row r="53" spans="1:8" ht="20.100000000000001" customHeight="1">
      <c r="A53" s="872"/>
      <c r="B53" s="872"/>
      <c r="C53" s="872"/>
      <c r="D53" s="872"/>
      <c r="E53" s="872"/>
      <c r="F53" s="199">
        <v>11262.92</v>
      </c>
      <c r="G53" s="872"/>
      <c r="H53" s="872"/>
    </row>
    <row r="54" spans="1:8" ht="20.100000000000001" customHeight="1">
      <c r="A54" s="873"/>
      <c r="B54" s="873"/>
      <c r="C54" s="873"/>
      <c r="D54" s="873"/>
      <c r="E54" s="873"/>
      <c r="F54" s="199">
        <v>21436.32</v>
      </c>
      <c r="G54" s="873"/>
      <c r="H54" s="873"/>
    </row>
    <row r="55" spans="1:8" ht="20.100000000000001" customHeight="1">
      <c r="A55" s="199" t="s">
        <v>182</v>
      </c>
      <c r="B55" s="199"/>
      <c r="C55" s="199"/>
      <c r="D55" s="199"/>
      <c r="E55" s="199" t="s">
        <v>1050</v>
      </c>
      <c r="F55" s="199"/>
      <c r="G55" s="199" t="s">
        <v>1051</v>
      </c>
      <c r="H55" s="199">
        <f>SUM(H4:H54)</f>
        <v>5629516.4200000009</v>
      </c>
    </row>
  </sheetData>
  <mergeCells count="46">
    <mergeCell ref="H49:H51"/>
    <mergeCell ref="H52:H54"/>
    <mergeCell ref="E43:E48"/>
    <mergeCell ref="E49:E51"/>
    <mergeCell ref="E52:E54"/>
    <mergeCell ref="G49:G51"/>
    <mergeCell ref="G52:G54"/>
    <mergeCell ref="G3:G26"/>
    <mergeCell ref="G27:G33"/>
    <mergeCell ref="G34:G41"/>
    <mergeCell ref="G43:G48"/>
    <mergeCell ref="H43:H48"/>
    <mergeCell ref="C43:C48"/>
    <mergeCell ref="C49:C51"/>
    <mergeCell ref="C52:C54"/>
    <mergeCell ref="D3:D26"/>
    <mergeCell ref="D27:D33"/>
    <mergeCell ref="D34:D41"/>
    <mergeCell ref="D43:D48"/>
    <mergeCell ref="D49:D51"/>
    <mergeCell ref="D52:D54"/>
    <mergeCell ref="A43:A48"/>
    <mergeCell ref="A49:A51"/>
    <mergeCell ref="A52:A54"/>
    <mergeCell ref="B3:B26"/>
    <mergeCell ref="B27:B33"/>
    <mergeCell ref="B34:B41"/>
    <mergeCell ref="B43:B48"/>
    <mergeCell ref="B49:B51"/>
    <mergeCell ref="B52:B54"/>
    <mergeCell ref="B1:H1"/>
    <mergeCell ref="A1:A2"/>
    <mergeCell ref="A3:A26"/>
    <mergeCell ref="A27:A33"/>
    <mergeCell ref="A34:A41"/>
    <mergeCell ref="C3:C26"/>
    <mergeCell ref="C27:C33"/>
    <mergeCell ref="C34:C41"/>
    <mergeCell ref="E3:E26"/>
    <mergeCell ref="E27:E33"/>
    <mergeCell ref="E34:E41"/>
    <mergeCell ref="H2:H3"/>
    <mergeCell ref="H4:H26"/>
    <mergeCell ref="H27:H33"/>
    <mergeCell ref="H34:H41"/>
    <mergeCell ref="F2:F3"/>
  </mergeCells>
  <phoneticPr fontId="92" type="noConversion"/>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A1:L21"/>
  <sheetViews>
    <sheetView topLeftCell="B1" workbookViewId="0">
      <selection activeCell="E19" sqref="E19"/>
    </sheetView>
  </sheetViews>
  <sheetFormatPr defaultColWidth="8.875" defaultRowHeight="13.5"/>
  <cols>
    <col min="1" max="1" width="16.375" style="173" customWidth="1"/>
    <col min="2" max="2" width="17.125" style="174" customWidth="1"/>
    <col min="3" max="3" width="16.375" style="174" customWidth="1"/>
    <col min="4" max="4" width="13.125" style="174" customWidth="1"/>
    <col min="5" max="5" width="17.5" style="174" customWidth="1"/>
    <col min="6" max="7" width="8.875" style="173"/>
    <col min="8" max="8" width="15.875" style="175" customWidth="1"/>
    <col min="9" max="9" width="16.125" style="175" customWidth="1"/>
    <col min="10" max="10" width="16.875" style="175"/>
    <col min="11" max="11" width="17.5" style="175" customWidth="1"/>
    <col min="12" max="12" width="15.875" style="173" bestFit="1" customWidth="1"/>
    <col min="13" max="16384" width="8.875" style="173"/>
  </cols>
  <sheetData>
    <row r="1" spans="1:11" ht="27">
      <c r="A1" s="888" t="s">
        <v>2</v>
      </c>
      <c r="B1" s="884" t="s">
        <v>365</v>
      </c>
      <c r="C1" s="884"/>
      <c r="D1" s="884"/>
      <c r="E1" s="884"/>
      <c r="F1" s="888" t="s">
        <v>672</v>
      </c>
      <c r="G1" s="177"/>
      <c r="H1" s="178" t="s">
        <v>1052</v>
      </c>
      <c r="I1" s="178" t="s">
        <v>1053</v>
      </c>
      <c r="J1" s="181" t="s">
        <v>1054</v>
      </c>
      <c r="K1" s="196" t="s">
        <v>1055</v>
      </c>
    </row>
    <row r="2" spans="1:11" ht="27">
      <c r="A2" s="888"/>
      <c r="B2" s="176" t="s">
        <v>367</v>
      </c>
      <c r="C2" s="179" t="s">
        <v>332</v>
      </c>
      <c r="D2" s="179" t="s">
        <v>368</v>
      </c>
      <c r="E2" s="179" t="s">
        <v>1056</v>
      </c>
      <c r="F2" s="888"/>
      <c r="G2" s="180"/>
      <c r="H2" s="181">
        <v>106960.79</v>
      </c>
      <c r="I2" s="181">
        <v>62339.67</v>
      </c>
      <c r="J2" s="181">
        <v>257.26</v>
      </c>
      <c r="K2" s="181">
        <v>227812.02</v>
      </c>
    </row>
    <row r="3" spans="1:11" ht="27">
      <c r="A3" s="182" t="s">
        <v>110</v>
      </c>
      <c r="B3" s="183">
        <v>20190701</v>
      </c>
      <c r="C3" s="179" t="s">
        <v>1052</v>
      </c>
      <c r="D3" s="176" t="s">
        <v>743</v>
      </c>
      <c r="E3" s="184">
        <v>93.497699999999995</v>
      </c>
      <c r="F3" s="185"/>
      <c r="G3" s="186"/>
      <c r="H3" s="181">
        <v>149648.47</v>
      </c>
      <c r="I3" s="181">
        <v>50526.12</v>
      </c>
      <c r="J3" s="181">
        <v>297.39999999999998</v>
      </c>
      <c r="K3" s="181">
        <v>128082.5</v>
      </c>
    </row>
    <row r="4" spans="1:11" ht="27">
      <c r="A4" s="182" t="s">
        <v>110</v>
      </c>
      <c r="B4" s="183">
        <v>20190702</v>
      </c>
      <c r="C4" s="179" t="s">
        <v>1053</v>
      </c>
      <c r="D4" s="176" t="s">
        <v>743</v>
      </c>
      <c r="E4" s="187">
        <v>27.151354000000001</v>
      </c>
      <c r="F4" s="185"/>
      <c r="G4" s="186"/>
      <c r="H4" s="181">
        <v>125554.95</v>
      </c>
      <c r="I4" s="181">
        <v>22549.94</v>
      </c>
      <c r="J4" s="181">
        <v>542085.85</v>
      </c>
      <c r="K4" s="181">
        <v>205688.32000000001</v>
      </c>
    </row>
    <row r="5" spans="1:11" s="171" customFormat="1" ht="27">
      <c r="A5" s="182" t="s">
        <v>110</v>
      </c>
      <c r="B5" s="183">
        <v>20190801</v>
      </c>
      <c r="C5" s="179" t="s">
        <v>1054</v>
      </c>
      <c r="D5" s="176" t="s">
        <v>459</v>
      </c>
      <c r="E5" s="179">
        <v>193.04824600000001</v>
      </c>
      <c r="F5" s="185"/>
      <c r="G5" s="188"/>
      <c r="H5" s="189">
        <v>153435.76</v>
      </c>
      <c r="I5" s="189">
        <v>37141.410000000003</v>
      </c>
      <c r="J5" s="189">
        <v>50.99</v>
      </c>
      <c r="K5" s="189">
        <v>205688.32000000001</v>
      </c>
    </row>
    <row r="6" spans="1:11" ht="27">
      <c r="A6" s="182" t="s">
        <v>110</v>
      </c>
      <c r="B6" s="183">
        <v>20191201</v>
      </c>
      <c r="C6" s="182" t="s">
        <v>1055</v>
      </c>
      <c r="D6" s="176" t="s">
        <v>758</v>
      </c>
      <c r="E6" s="187">
        <v>94.141600999999994</v>
      </c>
      <c r="F6" s="185"/>
      <c r="G6" s="186"/>
      <c r="H6" s="181">
        <v>188617.31</v>
      </c>
      <c r="I6" s="181">
        <v>71811.44</v>
      </c>
      <c r="J6" s="181">
        <v>325801.34000000003</v>
      </c>
      <c r="K6" s="181">
        <v>50626.89</v>
      </c>
    </row>
    <row r="7" spans="1:11" ht="27">
      <c r="A7" s="182" t="s">
        <v>110</v>
      </c>
      <c r="B7" s="183">
        <v>20200101</v>
      </c>
      <c r="C7" s="179" t="s">
        <v>1053</v>
      </c>
      <c r="D7" s="176" t="s">
        <v>743</v>
      </c>
      <c r="E7" s="187">
        <v>16.561114</v>
      </c>
      <c r="F7" s="185"/>
      <c r="G7" s="186"/>
      <c r="H7" s="181">
        <v>210733.07</v>
      </c>
      <c r="I7" s="181">
        <v>27144.959999999999</v>
      </c>
      <c r="J7" s="181">
        <v>393014.98</v>
      </c>
      <c r="K7" s="181">
        <v>123517.99</v>
      </c>
    </row>
    <row r="8" spans="1:11" ht="27">
      <c r="A8" s="182" t="s">
        <v>110</v>
      </c>
      <c r="B8" s="183">
        <v>20200102</v>
      </c>
      <c r="C8" s="179" t="s">
        <v>1052</v>
      </c>
      <c r="D8" s="176" t="s">
        <v>743</v>
      </c>
      <c r="E8" s="184">
        <v>120.02889999999999</v>
      </c>
      <c r="F8" s="185"/>
      <c r="G8" s="186"/>
      <c r="H8" s="181">
        <v>155010.54999999999</v>
      </c>
      <c r="I8" s="181">
        <v>41663.19</v>
      </c>
      <c r="J8" s="181">
        <v>668974.64</v>
      </c>
      <c r="K8" s="181">
        <v>126046.78</v>
      </c>
    </row>
    <row r="9" spans="1:11" s="172" customFormat="1" ht="27">
      <c r="A9" s="182" t="s">
        <v>110</v>
      </c>
      <c r="B9" s="190">
        <v>20200201</v>
      </c>
      <c r="C9" s="179" t="s">
        <v>1054</v>
      </c>
      <c r="D9" s="176" t="s">
        <v>459</v>
      </c>
      <c r="E9" s="190">
        <v>218.596025</v>
      </c>
      <c r="F9" s="191"/>
      <c r="H9" s="192">
        <v>227459.3</v>
      </c>
      <c r="I9" s="192">
        <v>28483.38</v>
      </c>
      <c r="J9" s="192">
        <v>249.18</v>
      </c>
      <c r="K9" s="192">
        <v>157452.65</v>
      </c>
    </row>
    <row r="10" spans="1:11" ht="27">
      <c r="A10" s="182" t="s">
        <v>110</v>
      </c>
      <c r="B10" s="190">
        <v>20200601</v>
      </c>
      <c r="C10" s="182" t="s">
        <v>1055</v>
      </c>
      <c r="D10" s="176" t="s">
        <v>459</v>
      </c>
      <c r="E10" s="190">
        <v>60.397356000000002</v>
      </c>
      <c r="F10" s="191"/>
      <c r="H10" s="181">
        <v>238103.3</v>
      </c>
      <c r="I10" s="181">
        <v>33397.660000000003</v>
      </c>
      <c r="J10" s="181">
        <v>111208.72</v>
      </c>
      <c r="K10" s="181">
        <v>142891.66</v>
      </c>
    </row>
    <row r="11" spans="1:11">
      <c r="A11" s="182" t="s">
        <v>182</v>
      </c>
      <c r="B11" s="885"/>
      <c r="C11" s="886"/>
      <c r="D11" s="887"/>
      <c r="E11" s="190">
        <f>SUM(E3:E10)</f>
        <v>823.42229599999996</v>
      </c>
      <c r="F11" s="191"/>
      <c r="H11" s="181">
        <v>154542.25</v>
      </c>
      <c r="I11" s="181">
        <v>33692.67</v>
      </c>
      <c r="J11" s="181">
        <v>39.94</v>
      </c>
      <c r="K11" s="181">
        <v>93464.73</v>
      </c>
    </row>
    <row r="12" spans="1:11">
      <c r="H12" s="181">
        <v>37104.769999999997</v>
      </c>
      <c r="I12" s="181">
        <v>18569.32</v>
      </c>
      <c r="J12" s="181">
        <v>546391.5</v>
      </c>
      <c r="K12" s="181">
        <v>46322.57</v>
      </c>
    </row>
    <row r="13" spans="1:11">
      <c r="H13" s="181">
        <v>388041</v>
      </c>
      <c r="I13" s="181">
        <v>9804.92</v>
      </c>
      <c r="J13" s="181">
        <v>358111.62</v>
      </c>
      <c r="K13" s="181">
        <v>37795.17</v>
      </c>
    </row>
    <row r="14" spans="1:11">
      <c r="H14" s="193">
        <f>SUM(H2:H13)</f>
        <v>2135211.5200000005</v>
      </c>
      <c r="I14" s="193">
        <f>SUM(I2:I13)</f>
        <v>437124.68</v>
      </c>
      <c r="J14" s="181">
        <v>37.6</v>
      </c>
      <c r="K14" s="193">
        <f>SUM(K2:K13)</f>
        <v>1545389.5999999999</v>
      </c>
    </row>
    <row r="15" spans="1:11">
      <c r="H15" s="181">
        <f>E3+E8</f>
        <v>213.52659999999997</v>
      </c>
      <c r="I15" s="181">
        <f>E4+E7</f>
        <v>43.712468000000001</v>
      </c>
      <c r="J15" s="181">
        <v>135958.54999999999</v>
      </c>
      <c r="K15" s="181">
        <f>E6+E10</f>
        <v>154.53895699999998</v>
      </c>
    </row>
    <row r="16" spans="1:11">
      <c r="H16" s="181"/>
      <c r="I16" s="181"/>
      <c r="J16" s="181">
        <v>385250.42</v>
      </c>
      <c r="K16" s="181"/>
    </row>
    <row r="17" spans="7:12">
      <c r="H17" s="181"/>
      <c r="I17" s="181"/>
      <c r="J17" s="181">
        <v>126.12</v>
      </c>
      <c r="K17" s="181"/>
    </row>
    <row r="18" spans="7:12">
      <c r="H18" s="181"/>
      <c r="I18" s="181"/>
      <c r="J18" s="181">
        <v>648626.54</v>
      </c>
      <c r="K18" s="181"/>
    </row>
    <row r="19" spans="7:12">
      <c r="H19" s="181"/>
      <c r="I19" s="181"/>
      <c r="J19" s="193">
        <f>SUM(J2:J18)</f>
        <v>4116482.65</v>
      </c>
      <c r="K19" s="181"/>
    </row>
    <row r="20" spans="7:12">
      <c r="H20" s="194"/>
      <c r="I20" s="194"/>
      <c r="J20" s="194">
        <f>E5+E9</f>
        <v>411.644271</v>
      </c>
      <c r="K20" s="194"/>
    </row>
    <row r="21" spans="7:12">
      <c r="G21" s="195" t="s">
        <v>1057</v>
      </c>
      <c r="H21" s="193">
        <v>2135211.52</v>
      </c>
      <c r="I21" s="193">
        <v>437124.68</v>
      </c>
      <c r="J21" s="193">
        <v>4116482.65</v>
      </c>
      <c r="K21" s="193">
        <v>1545389.6</v>
      </c>
      <c r="L21" s="448">
        <f>SUM(H21:K21)</f>
        <v>8234208.4499999993</v>
      </c>
    </row>
  </sheetData>
  <mergeCells count="4">
    <mergeCell ref="B1:E1"/>
    <mergeCell ref="B11:D11"/>
    <mergeCell ref="A1:A2"/>
    <mergeCell ref="F1:F2"/>
  </mergeCells>
  <phoneticPr fontId="92" type="noConversion"/>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dimension ref="A1:H79"/>
  <sheetViews>
    <sheetView workbookViewId="0">
      <selection activeCell="E6" sqref="E6"/>
    </sheetView>
  </sheetViews>
  <sheetFormatPr defaultColWidth="20" defaultRowHeight="30" customHeight="1"/>
  <cols>
    <col min="1" max="1" width="36.875" style="156" customWidth="1"/>
    <col min="2" max="2" width="20" style="156" customWidth="1"/>
    <col min="3" max="3" width="20" style="157" customWidth="1"/>
    <col min="4" max="4" width="20" style="156" customWidth="1"/>
    <col min="5" max="16384" width="20" style="156"/>
  </cols>
  <sheetData>
    <row r="1" spans="1:6" ht="30" customHeight="1">
      <c r="A1" s="889" t="s">
        <v>1058</v>
      </c>
      <c r="B1" s="890"/>
      <c r="C1" s="890"/>
      <c r="D1" s="890"/>
      <c r="E1" s="890"/>
      <c r="F1" s="890"/>
    </row>
    <row r="2" spans="1:6" ht="30" customHeight="1">
      <c r="A2" s="889"/>
      <c r="B2" s="890"/>
      <c r="C2" s="890"/>
      <c r="D2" s="890"/>
      <c r="E2" s="890"/>
      <c r="F2" s="890"/>
    </row>
    <row r="3" spans="1:6" ht="30" customHeight="1">
      <c r="A3" s="891" t="s">
        <v>1059</v>
      </c>
      <c r="B3" s="891" t="s">
        <v>365</v>
      </c>
      <c r="C3" s="892"/>
      <c r="D3" s="891"/>
      <c r="E3" s="891"/>
      <c r="F3" s="891" t="s">
        <v>1060</v>
      </c>
    </row>
    <row r="4" spans="1:6" ht="30" customHeight="1">
      <c r="A4" s="891"/>
      <c r="B4" s="160" t="s">
        <v>367</v>
      </c>
      <c r="C4" s="158" t="s">
        <v>332</v>
      </c>
      <c r="D4" s="159" t="s">
        <v>368</v>
      </c>
      <c r="E4" s="160" t="s">
        <v>1061</v>
      </c>
      <c r="F4" s="891"/>
    </row>
    <row r="5" spans="1:6" ht="30" customHeight="1">
      <c r="A5" s="161" t="s">
        <v>127</v>
      </c>
      <c r="B5" s="161" t="s">
        <v>1062</v>
      </c>
      <c r="C5" s="162" t="s">
        <v>1063</v>
      </c>
      <c r="D5" s="161" t="s">
        <v>470</v>
      </c>
      <c r="E5" s="161">
        <v>4.4800000000000004</v>
      </c>
      <c r="F5" s="161">
        <v>4.4687000000000001</v>
      </c>
    </row>
    <row r="6" spans="1:6" ht="30" customHeight="1">
      <c r="A6" s="161" t="s">
        <v>127</v>
      </c>
      <c r="B6" s="161" t="s">
        <v>1064</v>
      </c>
      <c r="C6" s="162" t="s">
        <v>1063</v>
      </c>
      <c r="D6" s="161" t="s">
        <v>470</v>
      </c>
      <c r="E6" s="161">
        <v>4.4800000000000004</v>
      </c>
      <c r="F6" s="161">
        <v>4.4687000000000001</v>
      </c>
    </row>
    <row r="7" spans="1:6" ht="30" customHeight="1">
      <c r="A7" s="161" t="s">
        <v>127</v>
      </c>
      <c r="B7" s="161" t="s">
        <v>1065</v>
      </c>
      <c r="C7" s="162" t="s">
        <v>1063</v>
      </c>
      <c r="D7" s="161" t="s">
        <v>470</v>
      </c>
      <c r="E7" s="161">
        <v>4.4800000000000004</v>
      </c>
      <c r="F7" s="161">
        <v>4.4687000000000001</v>
      </c>
    </row>
    <row r="8" spans="1:6" ht="30" customHeight="1">
      <c r="A8" s="161" t="s">
        <v>127</v>
      </c>
      <c r="B8" s="163" t="s">
        <v>1066</v>
      </c>
      <c r="C8" s="162" t="s">
        <v>1063</v>
      </c>
      <c r="D8" s="161" t="s">
        <v>470</v>
      </c>
      <c r="E8" s="161">
        <v>4.34</v>
      </c>
      <c r="F8" s="161">
        <v>4.3289</v>
      </c>
    </row>
    <row r="9" spans="1:6" ht="30" customHeight="1">
      <c r="A9" s="161" t="s">
        <v>127</v>
      </c>
      <c r="B9" s="163" t="s">
        <v>1067</v>
      </c>
      <c r="C9" s="162" t="s">
        <v>1063</v>
      </c>
      <c r="D9" s="161" t="s">
        <v>470</v>
      </c>
      <c r="E9" s="161">
        <v>4.0599999999999996</v>
      </c>
      <c r="F9" s="161">
        <v>4.0492999999999997</v>
      </c>
    </row>
    <row r="10" spans="1:6" ht="30" customHeight="1">
      <c r="A10" s="161" t="s">
        <v>127</v>
      </c>
      <c r="B10" s="163" t="s">
        <v>1068</v>
      </c>
      <c r="C10" s="162" t="s">
        <v>1063</v>
      </c>
      <c r="D10" s="161" t="s">
        <v>470</v>
      </c>
      <c r="E10" s="161">
        <v>3.78</v>
      </c>
      <c r="F10" s="161">
        <v>3.7696999999999998</v>
      </c>
    </row>
    <row r="11" spans="1:6" ht="30" customHeight="1">
      <c r="A11" s="161" t="s">
        <v>127</v>
      </c>
      <c r="B11" s="163" t="s">
        <v>1069</v>
      </c>
      <c r="C11" s="162" t="s">
        <v>1063</v>
      </c>
      <c r="D11" s="161" t="s">
        <v>470</v>
      </c>
      <c r="E11" s="161">
        <v>3.78</v>
      </c>
      <c r="F11" s="161">
        <v>3.7696999999999998</v>
      </c>
    </row>
    <row r="12" spans="1:6" ht="30" customHeight="1">
      <c r="A12" s="161" t="s">
        <v>127</v>
      </c>
      <c r="B12" s="163" t="s">
        <v>1070</v>
      </c>
      <c r="C12" s="162" t="s">
        <v>1063</v>
      </c>
      <c r="D12" s="161" t="s">
        <v>470</v>
      </c>
      <c r="E12" s="161">
        <v>3.78</v>
      </c>
      <c r="F12" s="161">
        <v>3.7696999999999998</v>
      </c>
    </row>
    <row r="13" spans="1:6" ht="30" customHeight="1">
      <c r="A13" s="161" t="s">
        <v>127</v>
      </c>
      <c r="B13" s="164" t="s">
        <v>1071</v>
      </c>
      <c r="C13" s="162" t="s">
        <v>1063</v>
      </c>
      <c r="D13" s="161" t="s">
        <v>470</v>
      </c>
      <c r="E13" s="161">
        <v>8.1199999999999992</v>
      </c>
      <c r="F13" s="161">
        <v>8.1038999999999994</v>
      </c>
    </row>
    <row r="14" spans="1:6" ht="30" customHeight="1">
      <c r="A14" s="161" t="s">
        <v>127</v>
      </c>
      <c r="B14" s="163" t="s">
        <v>1072</v>
      </c>
      <c r="C14" s="162" t="s">
        <v>1073</v>
      </c>
      <c r="D14" s="161" t="s">
        <v>470</v>
      </c>
      <c r="E14" s="161">
        <v>5.29</v>
      </c>
      <c r="F14" s="161">
        <v>5.2885</v>
      </c>
    </row>
    <row r="15" spans="1:6" ht="30" customHeight="1">
      <c r="A15" s="161" t="s">
        <v>127</v>
      </c>
      <c r="B15" s="163" t="s">
        <v>1074</v>
      </c>
      <c r="C15" s="162" t="s">
        <v>1073</v>
      </c>
      <c r="D15" s="161" t="s">
        <v>470</v>
      </c>
      <c r="E15" s="161">
        <v>4.8600000000000003</v>
      </c>
      <c r="F15" s="161">
        <v>4.8563000000000001</v>
      </c>
    </row>
    <row r="16" spans="1:6" ht="30" customHeight="1">
      <c r="A16" s="161" t="s">
        <v>127</v>
      </c>
      <c r="B16" s="163" t="s">
        <v>1075</v>
      </c>
      <c r="C16" s="162" t="s">
        <v>1076</v>
      </c>
      <c r="D16" s="161" t="s">
        <v>372</v>
      </c>
      <c r="E16" s="161">
        <v>3.78</v>
      </c>
      <c r="F16" s="161">
        <v>3.7925</v>
      </c>
    </row>
    <row r="17" spans="1:6" ht="30" customHeight="1">
      <c r="A17" s="161" t="s">
        <v>127</v>
      </c>
      <c r="B17" s="163" t="s">
        <v>1077</v>
      </c>
      <c r="C17" s="162" t="s">
        <v>1076</v>
      </c>
      <c r="D17" s="161" t="s">
        <v>372</v>
      </c>
      <c r="E17" s="161">
        <v>3.78</v>
      </c>
      <c r="F17" s="161">
        <f>1.8895*2</f>
        <v>3.7789999999999999</v>
      </c>
    </row>
    <row r="18" spans="1:6" ht="30" customHeight="1">
      <c r="A18" s="161" t="s">
        <v>127</v>
      </c>
      <c r="B18" s="163" t="s">
        <v>1078</v>
      </c>
      <c r="C18" s="162" t="s">
        <v>1076</v>
      </c>
      <c r="D18" s="161" t="s">
        <v>372</v>
      </c>
      <c r="E18" s="161">
        <v>3.59</v>
      </c>
      <c r="F18" s="161">
        <v>3.6629999999999998</v>
      </c>
    </row>
    <row r="19" spans="1:6" ht="30" customHeight="1">
      <c r="A19" s="161" t="s">
        <v>127</v>
      </c>
      <c r="B19" s="163" t="s">
        <v>1079</v>
      </c>
      <c r="C19" s="162" t="s">
        <v>1080</v>
      </c>
      <c r="D19" s="161" t="s">
        <v>758</v>
      </c>
      <c r="E19" s="161">
        <v>15.05</v>
      </c>
      <c r="F19" s="161">
        <f>0.078+9.8745+4.817</f>
        <v>14.769499999999999</v>
      </c>
    </row>
    <row r="20" spans="1:6" ht="30" customHeight="1">
      <c r="A20" s="161" t="s">
        <v>127</v>
      </c>
      <c r="B20" s="165" t="s">
        <v>1081</v>
      </c>
      <c r="C20" s="162" t="s">
        <v>1082</v>
      </c>
      <c r="D20" s="161" t="s">
        <v>540</v>
      </c>
      <c r="E20" s="161">
        <v>4.34</v>
      </c>
      <c r="F20" s="161">
        <v>4.3372999999999999</v>
      </c>
    </row>
    <row r="21" spans="1:6" ht="30" customHeight="1">
      <c r="A21" s="161" t="s">
        <v>127</v>
      </c>
      <c r="B21" s="165" t="s">
        <v>1083</v>
      </c>
      <c r="C21" s="162" t="s">
        <v>1082</v>
      </c>
      <c r="D21" s="161" t="s">
        <v>540</v>
      </c>
      <c r="E21" s="161">
        <v>4.34</v>
      </c>
      <c r="F21" s="161">
        <v>4.3375000000000004</v>
      </c>
    </row>
    <row r="22" spans="1:6" ht="30" customHeight="1">
      <c r="A22" s="161" t="s">
        <v>127</v>
      </c>
      <c r="B22" s="165" t="s">
        <v>1084</v>
      </c>
      <c r="C22" s="162" t="s">
        <v>1085</v>
      </c>
      <c r="D22" s="161" t="s">
        <v>383</v>
      </c>
      <c r="E22" s="161">
        <v>3.19</v>
      </c>
      <c r="F22" s="161">
        <v>3.1858</v>
      </c>
    </row>
    <row r="23" spans="1:6" ht="30" customHeight="1">
      <c r="A23" s="161" t="s">
        <v>127</v>
      </c>
      <c r="B23" s="165" t="s">
        <v>1086</v>
      </c>
      <c r="C23" s="162" t="s">
        <v>1085</v>
      </c>
      <c r="D23" s="161" t="s">
        <v>383</v>
      </c>
      <c r="E23" s="161">
        <v>3.19</v>
      </c>
      <c r="F23" s="161">
        <v>3.1857000000000002</v>
      </c>
    </row>
    <row r="24" spans="1:6" ht="30" customHeight="1">
      <c r="A24" s="161" t="s">
        <v>127</v>
      </c>
      <c r="B24" s="165" t="s">
        <v>1087</v>
      </c>
      <c r="C24" s="162" t="s">
        <v>1085</v>
      </c>
      <c r="D24" s="161" t="s">
        <v>383</v>
      </c>
      <c r="E24" s="161">
        <v>3.19</v>
      </c>
      <c r="F24" s="161">
        <v>3.1857000000000002</v>
      </c>
    </row>
    <row r="25" spans="1:6" ht="30" customHeight="1">
      <c r="A25" s="161" t="s">
        <v>127</v>
      </c>
      <c r="B25" s="165" t="s">
        <v>1088</v>
      </c>
      <c r="C25" s="162" t="s">
        <v>1085</v>
      </c>
      <c r="D25" s="161" t="s">
        <v>383</v>
      </c>
      <c r="E25" s="161">
        <v>3.19</v>
      </c>
      <c r="F25" s="161">
        <v>3.1857000000000002</v>
      </c>
    </row>
    <row r="26" spans="1:6" ht="30" customHeight="1">
      <c r="A26" s="161" t="s">
        <v>127</v>
      </c>
      <c r="B26" s="165" t="s">
        <v>1089</v>
      </c>
      <c r="C26" s="162" t="s">
        <v>1085</v>
      </c>
      <c r="D26" s="161" t="s">
        <v>383</v>
      </c>
      <c r="E26" s="161">
        <v>3.19</v>
      </c>
      <c r="F26" s="161">
        <v>3.1857000000000002</v>
      </c>
    </row>
    <row r="27" spans="1:6" ht="30" customHeight="1">
      <c r="A27" s="161" t="s">
        <v>127</v>
      </c>
      <c r="B27" s="165" t="s">
        <v>1090</v>
      </c>
      <c r="C27" s="162" t="s">
        <v>1085</v>
      </c>
      <c r="D27" s="161" t="s">
        <v>383</v>
      </c>
      <c r="E27" s="161">
        <v>3.07</v>
      </c>
      <c r="F27" s="161">
        <v>3.0659000000000001</v>
      </c>
    </row>
    <row r="28" spans="1:6" ht="30" customHeight="1">
      <c r="A28" s="161" t="s">
        <v>127</v>
      </c>
      <c r="B28" s="165" t="s">
        <v>1091</v>
      </c>
      <c r="C28" s="162" t="s">
        <v>1085</v>
      </c>
      <c r="D28" s="161" t="s">
        <v>383</v>
      </c>
      <c r="E28" s="161">
        <v>3.19</v>
      </c>
      <c r="F28" s="161">
        <v>3.1857000000000002</v>
      </c>
    </row>
    <row r="29" spans="1:6" ht="30" customHeight="1">
      <c r="A29" s="161" t="s">
        <v>127</v>
      </c>
      <c r="B29" s="165" t="s">
        <v>1092</v>
      </c>
      <c r="C29" s="162" t="s">
        <v>1093</v>
      </c>
      <c r="D29" s="161" t="s">
        <v>394</v>
      </c>
      <c r="E29" s="161">
        <v>3.1</v>
      </c>
      <c r="F29" s="161">
        <v>3.1</v>
      </c>
    </row>
    <row r="30" spans="1:6" ht="30" customHeight="1">
      <c r="A30" s="161" t="s">
        <v>127</v>
      </c>
      <c r="B30" s="165" t="s">
        <v>1094</v>
      </c>
      <c r="C30" s="162" t="s">
        <v>1093</v>
      </c>
      <c r="D30" s="161" t="s">
        <v>394</v>
      </c>
      <c r="E30" s="161">
        <v>4.5999999999999996</v>
      </c>
      <c r="F30" s="161">
        <v>4.5999999999999996</v>
      </c>
    </row>
    <row r="31" spans="1:6" ht="30" customHeight="1">
      <c r="A31" s="161" t="s">
        <v>127</v>
      </c>
      <c r="B31" s="165" t="s">
        <v>1095</v>
      </c>
      <c r="C31" s="162" t="s">
        <v>1096</v>
      </c>
      <c r="D31" s="161" t="s">
        <v>1097</v>
      </c>
      <c r="E31" s="161">
        <v>9.02</v>
      </c>
      <c r="F31" s="161">
        <v>8.9891000000000005</v>
      </c>
    </row>
    <row r="32" spans="1:6" ht="30" customHeight="1">
      <c r="A32" s="161" t="s">
        <v>127</v>
      </c>
      <c r="B32" s="165" t="s">
        <v>1098</v>
      </c>
      <c r="C32" s="162" t="s">
        <v>1099</v>
      </c>
      <c r="D32" s="161" t="s">
        <v>1097</v>
      </c>
      <c r="E32" s="161">
        <v>6.93</v>
      </c>
      <c r="F32" s="161">
        <f>3.3468+3.5566</f>
        <v>6.9033999999999995</v>
      </c>
    </row>
    <row r="33" spans="1:8" ht="30" customHeight="1">
      <c r="A33" s="161" t="s">
        <v>127</v>
      </c>
      <c r="B33" s="165" t="s">
        <v>1100</v>
      </c>
      <c r="C33" s="162" t="s">
        <v>1101</v>
      </c>
      <c r="D33" s="161" t="s">
        <v>1097</v>
      </c>
      <c r="E33" s="161">
        <v>6.6</v>
      </c>
      <c r="F33" s="161">
        <v>6.5852000000000004</v>
      </c>
    </row>
    <row r="34" spans="1:8" ht="30" customHeight="1">
      <c r="A34" s="161" t="s">
        <v>127</v>
      </c>
      <c r="B34" s="165" t="s">
        <v>1102</v>
      </c>
      <c r="C34" s="162" t="s">
        <v>1101</v>
      </c>
      <c r="D34" s="161" t="s">
        <v>1097</v>
      </c>
      <c r="E34" s="161">
        <v>12.96</v>
      </c>
      <c r="F34" s="161">
        <f>4.3089+8.6246</f>
        <v>12.933499999999999</v>
      </c>
    </row>
    <row r="35" spans="1:8" ht="30" customHeight="1">
      <c r="A35" s="161" t="s">
        <v>127</v>
      </c>
      <c r="B35" s="165" t="s">
        <v>1103</v>
      </c>
      <c r="C35" s="162" t="s">
        <v>1101</v>
      </c>
      <c r="D35" s="161" t="s">
        <v>1097</v>
      </c>
      <c r="E35" s="161">
        <v>12.96</v>
      </c>
      <c r="F35" s="161">
        <f>8.623+4.3074</f>
        <v>12.930399999999999</v>
      </c>
    </row>
    <row r="36" spans="1:8" ht="30" customHeight="1">
      <c r="A36" s="161" t="s">
        <v>127</v>
      </c>
      <c r="B36" s="165" t="s">
        <v>1104</v>
      </c>
      <c r="C36" s="162" t="s">
        <v>1101</v>
      </c>
      <c r="D36" s="161" t="s">
        <v>1097</v>
      </c>
      <c r="E36" s="161">
        <v>3.25</v>
      </c>
      <c r="F36" s="896">
        <v>6.9047999999999998</v>
      </c>
    </row>
    <row r="37" spans="1:8" ht="30" customHeight="1">
      <c r="A37" s="161" t="s">
        <v>127</v>
      </c>
      <c r="B37" s="165" t="s">
        <v>1105</v>
      </c>
      <c r="C37" s="162" t="s">
        <v>1101</v>
      </c>
      <c r="D37" s="161" t="s">
        <v>1097</v>
      </c>
      <c r="E37" s="161">
        <v>3.25</v>
      </c>
      <c r="F37" s="897"/>
    </row>
    <row r="38" spans="1:8" ht="30" customHeight="1">
      <c r="A38" s="161" t="s">
        <v>127</v>
      </c>
      <c r="B38" s="165" t="s">
        <v>1106</v>
      </c>
      <c r="C38" s="162" t="s">
        <v>1107</v>
      </c>
      <c r="D38" s="161" t="s">
        <v>1097</v>
      </c>
      <c r="E38" s="161">
        <v>4.0999999999999996</v>
      </c>
      <c r="G38" s="166" t="s">
        <v>1108</v>
      </c>
      <c r="H38" s="167">
        <v>9.5587</v>
      </c>
    </row>
    <row r="39" spans="1:8" ht="30" customHeight="1">
      <c r="A39" s="161" t="s">
        <v>127</v>
      </c>
      <c r="B39" s="165" t="s">
        <v>1109</v>
      </c>
      <c r="C39" s="162" t="s">
        <v>1110</v>
      </c>
      <c r="D39" s="161" t="s">
        <v>540</v>
      </c>
      <c r="E39" s="161">
        <v>4.55</v>
      </c>
      <c r="F39" s="161">
        <v>4.5484999999999998</v>
      </c>
    </row>
    <row r="40" spans="1:8" ht="30" customHeight="1">
      <c r="A40" s="161" t="s">
        <v>127</v>
      </c>
      <c r="B40" s="165" t="s">
        <v>1111</v>
      </c>
      <c r="C40" s="162" t="s">
        <v>1110</v>
      </c>
      <c r="D40" s="161" t="s">
        <v>540</v>
      </c>
      <c r="E40" s="161">
        <v>4.55</v>
      </c>
      <c r="F40" s="161">
        <v>4.5484999999999998</v>
      </c>
    </row>
    <row r="41" spans="1:8" ht="30" customHeight="1">
      <c r="A41" s="161" t="s">
        <v>127</v>
      </c>
      <c r="B41" s="165" t="s">
        <v>1112</v>
      </c>
      <c r="C41" s="162" t="s">
        <v>1110</v>
      </c>
      <c r="D41" s="161" t="s">
        <v>540</v>
      </c>
      <c r="E41" s="161">
        <v>4.55</v>
      </c>
      <c r="F41" s="161">
        <v>4.5484999999999998</v>
      </c>
    </row>
    <row r="42" spans="1:8" ht="30" customHeight="1">
      <c r="A42" s="161" t="s">
        <v>127</v>
      </c>
      <c r="B42" s="165" t="s">
        <v>1113</v>
      </c>
      <c r="C42" s="162" t="s">
        <v>1110</v>
      </c>
      <c r="D42" s="161" t="s">
        <v>540</v>
      </c>
      <c r="E42" s="161">
        <v>4.55</v>
      </c>
      <c r="F42" s="161">
        <v>4.5484999999999998</v>
      </c>
    </row>
    <row r="43" spans="1:8" ht="30" customHeight="1">
      <c r="A43" s="161" t="s">
        <v>127</v>
      </c>
      <c r="B43" s="165" t="s">
        <v>1114</v>
      </c>
      <c r="C43" s="162" t="s">
        <v>1115</v>
      </c>
      <c r="D43" s="161" t="s">
        <v>394</v>
      </c>
      <c r="E43" s="161">
        <v>3</v>
      </c>
      <c r="F43" s="168">
        <v>3.0059999999999998</v>
      </c>
    </row>
    <row r="44" spans="1:8" ht="30" customHeight="1">
      <c r="A44" s="161" t="s">
        <v>127</v>
      </c>
      <c r="B44" s="165" t="s">
        <v>1116</v>
      </c>
      <c r="C44" s="162" t="s">
        <v>1117</v>
      </c>
      <c r="D44" s="161" t="s">
        <v>394</v>
      </c>
      <c r="E44" s="161">
        <v>3.4</v>
      </c>
      <c r="F44" s="161">
        <v>3.3982000000000001</v>
      </c>
    </row>
    <row r="45" spans="1:8" ht="30" customHeight="1">
      <c r="A45" s="161" t="s">
        <v>127</v>
      </c>
      <c r="B45" s="165" t="s">
        <v>1118</v>
      </c>
      <c r="C45" s="162" t="s">
        <v>1119</v>
      </c>
      <c r="D45" s="161" t="s">
        <v>398</v>
      </c>
      <c r="E45" s="161">
        <v>3.2</v>
      </c>
      <c r="F45" s="161">
        <v>3.1985000000000001</v>
      </c>
    </row>
    <row r="46" spans="1:8" ht="30" customHeight="1">
      <c r="A46" s="161" t="s">
        <v>127</v>
      </c>
      <c r="B46" s="165" t="s">
        <v>1120</v>
      </c>
      <c r="C46" s="162" t="s">
        <v>1121</v>
      </c>
      <c r="D46" s="161" t="s">
        <v>411</v>
      </c>
      <c r="E46" s="161">
        <v>3.36</v>
      </c>
      <c r="F46" s="168">
        <v>3.3620000000000001</v>
      </c>
    </row>
    <row r="47" spans="1:8" ht="30" customHeight="1">
      <c r="A47" s="161" t="s">
        <v>127</v>
      </c>
      <c r="B47" s="165" t="s">
        <v>1122</v>
      </c>
      <c r="C47" s="162" t="s">
        <v>1121</v>
      </c>
      <c r="D47" s="161" t="s">
        <v>411</v>
      </c>
      <c r="E47" s="161">
        <v>3.55</v>
      </c>
      <c r="F47" s="161">
        <v>3.5457999999999998</v>
      </c>
    </row>
    <row r="48" spans="1:8" ht="30" customHeight="1">
      <c r="A48" s="161" t="s">
        <v>127</v>
      </c>
      <c r="B48" s="165" t="s">
        <v>1123</v>
      </c>
      <c r="C48" s="162" t="s">
        <v>1121</v>
      </c>
      <c r="D48" s="161" t="s">
        <v>411</v>
      </c>
      <c r="E48" s="161">
        <v>3.48</v>
      </c>
      <c r="F48" s="168">
        <v>3.472</v>
      </c>
    </row>
    <row r="49" spans="1:8" ht="30" customHeight="1">
      <c r="A49" s="161" t="s">
        <v>127</v>
      </c>
      <c r="B49" s="165" t="s">
        <v>1124</v>
      </c>
      <c r="C49" s="162" t="s">
        <v>1121</v>
      </c>
      <c r="D49" s="161" t="s">
        <v>411</v>
      </c>
      <c r="E49" s="161">
        <v>3.2</v>
      </c>
      <c r="F49" s="161">
        <v>3.1945000000000001</v>
      </c>
    </row>
    <row r="50" spans="1:8" ht="30" customHeight="1">
      <c r="A50" s="161" t="s">
        <v>127</v>
      </c>
      <c r="B50" s="165" t="s">
        <v>1125</v>
      </c>
      <c r="C50" s="162" t="s">
        <v>1121</v>
      </c>
      <c r="D50" s="161" t="s">
        <v>411</v>
      </c>
      <c r="E50" s="161">
        <v>2.96</v>
      </c>
      <c r="F50" s="168">
        <v>2.9529999999999998</v>
      </c>
    </row>
    <row r="51" spans="1:8" ht="30" customHeight="1">
      <c r="A51" s="161" t="s">
        <v>127</v>
      </c>
      <c r="B51" s="165" t="s">
        <v>1126</v>
      </c>
      <c r="C51" s="162" t="s">
        <v>1121</v>
      </c>
      <c r="D51" s="161" t="s">
        <v>411</v>
      </c>
      <c r="E51" s="161">
        <v>3.05</v>
      </c>
      <c r="F51" s="168">
        <v>3.0470000000000002</v>
      </c>
    </row>
    <row r="52" spans="1:8" ht="30" customHeight="1">
      <c r="A52" s="161" t="s">
        <v>127</v>
      </c>
      <c r="B52" s="165" t="s">
        <v>1127</v>
      </c>
      <c r="C52" s="162" t="s">
        <v>1128</v>
      </c>
      <c r="D52" s="161" t="s">
        <v>411</v>
      </c>
      <c r="E52" s="161">
        <v>3.8</v>
      </c>
      <c r="F52" s="161">
        <v>3.7965</v>
      </c>
    </row>
    <row r="53" spans="1:8" ht="30" customHeight="1">
      <c r="A53" s="161" t="s">
        <v>127</v>
      </c>
      <c r="B53" s="165" t="s">
        <v>1129</v>
      </c>
      <c r="C53" s="162" t="s">
        <v>1130</v>
      </c>
      <c r="D53" s="161" t="s">
        <v>1097</v>
      </c>
      <c r="E53" s="161">
        <v>4.62</v>
      </c>
      <c r="F53" s="161">
        <v>4.6124999999999998</v>
      </c>
    </row>
    <row r="54" spans="1:8" ht="30" customHeight="1">
      <c r="A54" s="161" t="s">
        <v>127</v>
      </c>
      <c r="B54" s="165" t="s">
        <v>1131</v>
      </c>
      <c r="C54" s="162" t="s">
        <v>1130</v>
      </c>
      <c r="D54" s="161" t="s">
        <v>1097</v>
      </c>
      <c r="E54" s="161">
        <v>4.46</v>
      </c>
      <c r="F54" s="896">
        <v>8.9055</v>
      </c>
    </row>
    <row r="55" spans="1:8" ht="30" customHeight="1">
      <c r="A55" s="161" t="s">
        <v>127</v>
      </c>
      <c r="B55" s="165" t="s">
        <v>1132</v>
      </c>
      <c r="C55" s="162" t="s">
        <v>1130</v>
      </c>
      <c r="D55" s="161" t="s">
        <v>1097</v>
      </c>
      <c r="E55" s="161">
        <v>4.46</v>
      </c>
      <c r="F55" s="897"/>
    </row>
    <row r="56" spans="1:8" ht="30" customHeight="1">
      <c r="A56" s="161" t="s">
        <v>127</v>
      </c>
      <c r="B56" s="165" t="s">
        <v>1133</v>
      </c>
      <c r="C56" s="162" t="s">
        <v>1130</v>
      </c>
      <c r="D56" s="161" t="s">
        <v>1097</v>
      </c>
      <c r="E56" s="161">
        <v>4.43</v>
      </c>
      <c r="F56" s="161">
        <v>4.4234999999999998</v>
      </c>
    </row>
    <row r="57" spans="1:8" ht="30" customHeight="1">
      <c r="A57" s="161" t="s">
        <v>127</v>
      </c>
      <c r="B57" s="165" t="s">
        <v>1134</v>
      </c>
      <c r="C57" s="162" t="s">
        <v>1130</v>
      </c>
      <c r="D57" s="161" t="s">
        <v>1097</v>
      </c>
      <c r="E57" s="161">
        <v>4.43</v>
      </c>
      <c r="F57" s="161">
        <v>4.4234999999999998</v>
      </c>
    </row>
    <row r="58" spans="1:8" ht="30" customHeight="1">
      <c r="A58" s="161" t="s">
        <v>127</v>
      </c>
      <c r="B58" s="165" t="s">
        <v>1135</v>
      </c>
      <c r="C58" s="162" t="s">
        <v>1136</v>
      </c>
      <c r="D58" s="161" t="s">
        <v>1097</v>
      </c>
      <c r="E58" s="161">
        <v>5.71</v>
      </c>
      <c r="G58" s="166" t="s">
        <v>1108</v>
      </c>
      <c r="H58" s="167">
        <f>1.7455+5.4655</f>
        <v>7.2109999999999994</v>
      </c>
    </row>
    <row r="59" spans="1:8" ht="30" customHeight="1">
      <c r="A59" s="161" t="s">
        <v>127</v>
      </c>
      <c r="B59" s="165" t="s">
        <v>1137</v>
      </c>
      <c r="C59" s="162" t="s">
        <v>1138</v>
      </c>
      <c r="D59" s="161" t="s">
        <v>470</v>
      </c>
      <c r="E59" s="161">
        <v>4.8600000000000003</v>
      </c>
      <c r="F59" s="161">
        <v>4.8433000000000002</v>
      </c>
    </row>
    <row r="60" spans="1:8" ht="30" customHeight="1">
      <c r="A60" s="161" t="s">
        <v>127</v>
      </c>
      <c r="B60" s="165" t="s">
        <v>1139</v>
      </c>
      <c r="C60" s="162" t="s">
        <v>1138</v>
      </c>
      <c r="D60" s="161" t="s">
        <v>470</v>
      </c>
      <c r="E60" s="161">
        <v>4.16</v>
      </c>
      <c r="F60" s="161">
        <v>4.1464999999999996</v>
      </c>
    </row>
    <row r="61" spans="1:8" ht="30" customHeight="1">
      <c r="A61" s="161" t="s">
        <v>127</v>
      </c>
      <c r="B61" s="165" t="s">
        <v>1140</v>
      </c>
      <c r="C61" s="162" t="s">
        <v>1141</v>
      </c>
      <c r="D61" s="161" t="s">
        <v>1097</v>
      </c>
      <c r="E61" s="161">
        <v>3.98</v>
      </c>
      <c r="F61" s="161">
        <v>3.9752000000000001</v>
      </c>
    </row>
    <row r="62" spans="1:8" ht="30" customHeight="1">
      <c r="A62" s="161" t="s">
        <v>127</v>
      </c>
      <c r="B62" s="165" t="s">
        <v>1142</v>
      </c>
      <c r="C62" s="162" t="s">
        <v>1141</v>
      </c>
      <c r="D62" s="161" t="s">
        <v>1097</v>
      </c>
      <c r="E62" s="161">
        <v>4.57</v>
      </c>
      <c r="F62" s="161">
        <v>4.5651999999999999</v>
      </c>
    </row>
    <row r="63" spans="1:8" ht="30" customHeight="1">
      <c r="A63" s="161" t="s">
        <v>127</v>
      </c>
      <c r="B63" s="165" t="s">
        <v>1143</v>
      </c>
      <c r="C63" s="162" t="s">
        <v>1141</v>
      </c>
      <c r="D63" s="161" t="s">
        <v>1097</v>
      </c>
      <c r="E63" s="161">
        <v>4.26</v>
      </c>
      <c r="F63" s="161">
        <v>4.2502000000000004</v>
      </c>
    </row>
    <row r="64" spans="1:8" ht="30" customHeight="1">
      <c r="A64" s="161" t="s">
        <v>127</v>
      </c>
      <c r="B64" s="165" t="s">
        <v>1144</v>
      </c>
      <c r="C64" s="162" t="s">
        <v>1141</v>
      </c>
      <c r="D64" s="161" t="s">
        <v>1097</v>
      </c>
      <c r="E64" s="161">
        <v>3.98</v>
      </c>
      <c r="F64" s="161">
        <v>3.9752000000000001</v>
      </c>
    </row>
    <row r="65" spans="1:8" ht="30" customHeight="1">
      <c r="A65" s="161" t="s">
        <v>127</v>
      </c>
      <c r="B65" s="165" t="s">
        <v>1145</v>
      </c>
      <c r="C65" s="162" t="s">
        <v>1146</v>
      </c>
      <c r="D65" s="161" t="s">
        <v>394</v>
      </c>
      <c r="E65" s="161">
        <v>3.9</v>
      </c>
      <c r="G65" s="166" t="s">
        <v>1108</v>
      </c>
      <c r="H65" s="169">
        <v>4.5279999999999996</v>
      </c>
    </row>
    <row r="66" spans="1:8" ht="30" customHeight="1">
      <c r="A66" s="161" t="s">
        <v>127</v>
      </c>
      <c r="B66" s="165" t="s">
        <v>1147</v>
      </c>
      <c r="C66" s="162" t="s">
        <v>1146</v>
      </c>
      <c r="D66" s="161" t="s">
        <v>394</v>
      </c>
      <c r="E66" s="161">
        <v>3.4</v>
      </c>
      <c r="F66" s="168">
        <v>3.3980000000000001</v>
      </c>
    </row>
    <row r="67" spans="1:8" ht="30" customHeight="1">
      <c r="A67" s="161" t="s">
        <v>127</v>
      </c>
      <c r="B67" s="165" t="s">
        <v>1148</v>
      </c>
      <c r="C67" s="162" t="s">
        <v>1146</v>
      </c>
      <c r="D67" s="161" t="s">
        <v>394</v>
      </c>
      <c r="E67" s="161">
        <v>2.9</v>
      </c>
      <c r="F67" s="161">
        <f>0.868+2.028</f>
        <v>2.8959999999999999</v>
      </c>
    </row>
    <row r="68" spans="1:8" ht="30" customHeight="1">
      <c r="A68" s="161" t="s">
        <v>127</v>
      </c>
      <c r="B68" s="165" t="s">
        <v>1149</v>
      </c>
      <c r="C68" s="162" t="s">
        <v>1150</v>
      </c>
      <c r="D68" s="161" t="s">
        <v>1097</v>
      </c>
      <c r="E68" s="161">
        <v>4.4800000000000004</v>
      </c>
      <c r="F68" s="161">
        <v>4.4741999999999997</v>
      </c>
    </row>
    <row r="69" spans="1:8" ht="30" customHeight="1">
      <c r="A69" s="161" t="s">
        <v>127</v>
      </c>
      <c r="B69" s="165" t="s">
        <v>1151</v>
      </c>
      <c r="C69" s="162" t="s">
        <v>1150</v>
      </c>
      <c r="D69" s="161" t="s">
        <v>1097</v>
      </c>
      <c r="E69" s="161">
        <v>4.43</v>
      </c>
      <c r="F69" s="161">
        <v>4.4218000000000002</v>
      </c>
    </row>
    <row r="70" spans="1:8" ht="30" customHeight="1">
      <c r="A70" s="161" t="s">
        <v>127</v>
      </c>
      <c r="B70" s="165" t="s">
        <v>1152</v>
      </c>
      <c r="C70" s="162" t="s">
        <v>1150</v>
      </c>
      <c r="D70" s="161" t="s">
        <v>1097</v>
      </c>
      <c r="E70" s="161">
        <v>4.43</v>
      </c>
      <c r="F70" s="161">
        <v>4.4218000000000002</v>
      </c>
    </row>
    <row r="71" spans="1:8" ht="30" customHeight="1">
      <c r="A71" s="161" t="s">
        <v>127</v>
      </c>
      <c r="B71" s="165" t="s">
        <v>1153</v>
      </c>
      <c r="C71" s="162" t="s">
        <v>1150</v>
      </c>
      <c r="D71" s="161" t="s">
        <v>1097</v>
      </c>
      <c r="E71" s="161">
        <v>4.33</v>
      </c>
      <c r="F71" s="161">
        <v>4.3263999999999996</v>
      </c>
    </row>
    <row r="72" spans="1:8" ht="30" customHeight="1">
      <c r="A72" s="161" t="s">
        <v>127</v>
      </c>
      <c r="B72" s="165" t="s">
        <v>1154</v>
      </c>
      <c r="C72" s="162" t="s">
        <v>1150</v>
      </c>
      <c r="D72" s="161" t="s">
        <v>1097</v>
      </c>
      <c r="E72" s="161">
        <v>4.32</v>
      </c>
      <c r="F72" s="161">
        <v>4.2904</v>
      </c>
    </row>
    <row r="73" spans="1:8" ht="30" customHeight="1">
      <c r="A73" s="161" t="s">
        <v>127</v>
      </c>
      <c r="B73" s="165" t="s">
        <v>1155</v>
      </c>
      <c r="C73" s="162" t="s">
        <v>1150</v>
      </c>
      <c r="D73" s="161" t="s">
        <v>1097</v>
      </c>
      <c r="E73" s="161">
        <v>4.33</v>
      </c>
      <c r="F73" s="161">
        <v>4.2836999999999996</v>
      </c>
    </row>
    <row r="74" spans="1:8" ht="30" customHeight="1">
      <c r="A74" s="161" t="s">
        <v>127</v>
      </c>
      <c r="B74" s="165" t="s">
        <v>1156</v>
      </c>
      <c r="C74" s="162" t="s">
        <v>1150</v>
      </c>
      <c r="D74" s="161" t="s">
        <v>1097</v>
      </c>
      <c r="E74" s="161">
        <v>4.54</v>
      </c>
      <c r="F74" s="161">
        <v>4.5260999999999996</v>
      </c>
    </row>
    <row r="75" spans="1:8" ht="30" customHeight="1">
      <c r="A75" s="161" t="s">
        <v>127</v>
      </c>
      <c r="B75" s="165" t="s">
        <v>1157</v>
      </c>
      <c r="C75" s="162" t="s">
        <v>1150</v>
      </c>
      <c r="D75" s="161" t="s">
        <v>1097</v>
      </c>
      <c r="E75" s="161">
        <v>4.1100000000000003</v>
      </c>
      <c r="F75" s="161">
        <v>4.1016000000000004</v>
      </c>
    </row>
    <row r="76" spans="1:8" ht="30" customHeight="1">
      <c r="A76" s="161" t="s">
        <v>127</v>
      </c>
      <c r="B76" s="165" t="s">
        <v>1158</v>
      </c>
      <c r="C76" s="162" t="s">
        <v>1150</v>
      </c>
      <c r="D76" s="161" t="s">
        <v>1097</v>
      </c>
      <c r="E76" s="161">
        <v>4.3</v>
      </c>
      <c r="F76" s="161">
        <v>4.3247999999999998</v>
      </c>
    </row>
    <row r="77" spans="1:8" ht="30" customHeight="1">
      <c r="A77" s="161" t="s">
        <v>127</v>
      </c>
      <c r="B77" s="165" t="s">
        <v>1159</v>
      </c>
      <c r="C77" s="162" t="s">
        <v>1150</v>
      </c>
      <c r="D77" s="161" t="s">
        <v>1097</v>
      </c>
      <c r="E77" s="161">
        <v>4.3</v>
      </c>
      <c r="F77" s="161">
        <v>4.3083</v>
      </c>
    </row>
    <row r="78" spans="1:8" ht="30" customHeight="1">
      <c r="A78" s="161" t="s">
        <v>127</v>
      </c>
      <c r="B78" s="165" t="s">
        <v>1160</v>
      </c>
      <c r="C78" s="162" t="s">
        <v>1150</v>
      </c>
      <c r="D78" s="161" t="s">
        <v>1097</v>
      </c>
      <c r="E78" s="161">
        <v>4.3</v>
      </c>
      <c r="F78" s="161">
        <v>1.8359000000000001</v>
      </c>
    </row>
    <row r="79" spans="1:8" ht="30" customHeight="1">
      <c r="A79" s="161" t="s">
        <v>182</v>
      </c>
      <c r="B79" s="893"/>
      <c r="C79" s="894"/>
      <c r="D79" s="895"/>
      <c r="E79" s="161">
        <f>SUM(E5:E78)</f>
        <v>338.50000000000011</v>
      </c>
      <c r="F79" s="170">
        <f>SUM(F5:F78)</f>
        <v>322.04459999999989</v>
      </c>
    </row>
  </sheetData>
  <mergeCells count="7">
    <mergeCell ref="A1:F2"/>
    <mergeCell ref="B3:E3"/>
    <mergeCell ref="B79:D79"/>
    <mergeCell ref="A3:A4"/>
    <mergeCell ref="F3:F4"/>
    <mergeCell ref="F36:F37"/>
    <mergeCell ref="F54:F55"/>
  </mergeCells>
  <phoneticPr fontId="92" type="noConversion"/>
  <pageMargins left="0.75" right="0.75" top="1" bottom="1" header="0.5" footer="0.5"/>
  <pageSetup paperSize="9" orientation="portrai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dimension ref="A1:I25"/>
  <sheetViews>
    <sheetView workbookViewId="0">
      <selection activeCell="E19" sqref="E19"/>
    </sheetView>
  </sheetViews>
  <sheetFormatPr defaultColWidth="8.875" defaultRowHeight="13.5"/>
  <cols>
    <col min="1" max="1" width="15.625" customWidth="1"/>
    <col min="2" max="2" width="21.5" customWidth="1"/>
    <col min="4" max="4" width="20.625" customWidth="1"/>
    <col min="5" max="5" width="19.125" style="142" customWidth="1"/>
    <col min="7" max="7" width="12.875"/>
  </cols>
  <sheetData>
    <row r="1" spans="1:9" ht="14.25">
      <c r="A1" s="898" t="s">
        <v>1161</v>
      </c>
      <c r="B1" s="898"/>
      <c r="C1" s="898"/>
      <c r="D1" s="898"/>
      <c r="E1" s="899"/>
    </row>
    <row r="2" spans="1:9">
      <c r="A2" s="900" t="s">
        <v>1162</v>
      </c>
      <c r="B2" s="900"/>
      <c r="C2" s="900"/>
      <c r="D2" s="900"/>
      <c r="E2" s="901"/>
    </row>
    <row r="3" spans="1:9" ht="27">
      <c r="A3" s="151" t="s">
        <v>190</v>
      </c>
      <c r="B3" s="151" t="s">
        <v>332</v>
      </c>
      <c r="C3" s="151" t="s">
        <v>368</v>
      </c>
      <c r="D3" s="151" t="s">
        <v>1022</v>
      </c>
      <c r="E3" s="152" t="s">
        <v>3084</v>
      </c>
    </row>
    <row r="4" spans="1:9">
      <c r="A4" s="905" t="s">
        <v>1163</v>
      </c>
      <c r="B4" s="905" t="s">
        <v>1164</v>
      </c>
      <c r="C4" s="908" t="s">
        <v>441</v>
      </c>
      <c r="D4" s="153">
        <v>148150</v>
      </c>
      <c r="E4" s="914">
        <f>D4+D5</f>
        <v>157296</v>
      </c>
    </row>
    <row r="5" spans="1:9">
      <c r="A5" s="905"/>
      <c r="B5" s="905"/>
      <c r="C5" s="908"/>
      <c r="D5" s="153">
        <v>9146</v>
      </c>
      <c r="E5" s="915"/>
    </row>
    <row r="6" spans="1:9" ht="14.25">
      <c r="A6" s="132" t="s">
        <v>1165</v>
      </c>
      <c r="B6" s="132" t="s">
        <v>1166</v>
      </c>
      <c r="C6" s="133" t="s">
        <v>670</v>
      </c>
      <c r="D6" s="394">
        <f>198000+483800</f>
        <v>681800</v>
      </c>
      <c r="E6" s="397">
        <v>68828.571428571435</v>
      </c>
      <c r="F6" s="154" t="s">
        <v>1167</v>
      </c>
      <c r="G6">
        <f>E6/7.0795</f>
        <v>9722.2362354080706</v>
      </c>
      <c r="H6" s="154">
        <v>-20</v>
      </c>
      <c r="I6" s="396" t="s">
        <v>3083</v>
      </c>
    </row>
    <row r="7" spans="1:9">
      <c r="A7" s="905" t="s">
        <v>1168</v>
      </c>
      <c r="B7" s="905" t="s">
        <v>1169</v>
      </c>
      <c r="C7" s="908" t="s">
        <v>423</v>
      </c>
      <c r="D7" s="153">
        <v>668925</v>
      </c>
      <c r="E7" s="914">
        <f>D7+D8+D9</f>
        <v>1672288</v>
      </c>
      <c r="G7" s="398">
        <f>E6/7</f>
        <v>9832.6530612244915</v>
      </c>
    </row>
    <row r="8" spans="1:9">
      <c r="A8" s="905"/>
      <c r="B8" s="905"/>
      <c r="C8" s="908"/>
      <c r="D8" s="153">
        <v>499914</v>
      </c>
      <c r="E8" s="916"/>
    </row>
    <row r="9" spans="1:9">
      <c r="A9" s="905"/>
      <c r="B9" s="905"/>
      <c r="C9" s="908"/>
      <c r="D9" s="153">
        <v>503449</v>
      </c>
      <c r="E9" s="915"/>
    </row>
    <row r="10" spans="1:9">
      <c r="A10" s="905" t="s">
        <v>1170</v>
      </c>
      <c r="B10" s="905" t="s">
        <v>1171</v>
      </c>
      <c r="C10" s="908" t="s">
        <v>383</v>
      </c>
      <c r="D10" s="153">
        <v>4646</v>
      </c>
      <c r="E10" s="911">
        <f>D10+D11+D12</f>
        <v>124646</v>
      </c>
    </row>
    <row r="11" spans="1:9">
      <c r="A11" s="905"/>
      <c r="B11" s="905"/>
      <c r="C11" s="908"/>
      <c r="D11" s="153">
        <v>36000</v>
      </c>
      <c r="E11" s="912"/>
    </row>
    <row r="12" spans="1:9">
      <c r="A12" s="905"/>
      <c r="B12" s="905"/>
      <c r="C12" s="908"/>
      <c r="D12" s="153">
        <v>84000</v>
      </c>
      <c r="E12" s="913"/>
    </row>
    <row r="13" spans="1:9">
      <c r="A13" s="905" t="s">
        <v>1172</v>
      </c>
      <c r="B13" s="905" t="s">
        <v>1173</v>
      </c>
      <c r="C13" s="908" t="s">
        <v>1174</v>
      </c>
      <c r="D13" s="153">
        <v>297927</v>
      </c>
      <c r="E13" s="911">
        <f>D13+D14</f>
        <v>298444</v>
      </c>
    </row>
    <row r="14" spans="1:9">
      <c r="A14" s="905"/>
      <c r="B14" s="905"/>
      <c r="C14" s="908"/>
      <c r="D14" s="153">
        <v>517</v>
      </c>
      <c r="E14" s="913"/>
    </row>
    <row r="15" spans="1:9">
      <c r="A15" s="905" t="s">
        <v>1175</v>
      </c>
      <c r="B15" s="905" t="s">
        <v>1173</v>
      </c>
      <c r="C15" s="908" t="s">
        <v>1174</v>
      </c>
      <c r="D15" s="153">
        <v>318246</v>
      </c>
      <c r="E15" s="911">
        <f>D15+D16</f>
        <v>324388</v>
      </c>
    </row>
    <row r="16" spans="1:9">
      <c r="A16" s="905"/>
      <c r="B16" s="905"/>
      <c r="C16" s="908"/>
      <c r="D16" s="153">
        <v>6142</v>
      </c>
      <c r="E16" s="913"/>
    </row>
    <row r="17" spans="1:6">
      <c r="A17" s="905" t="s">
        <v>1176</v>
      </c>
      <c r="B17" s="905" t="s">
        <v>1177</v>
      </c>
      <c r="C17" s="908" t="s">
        <v>561</v>
      </c>
      <c r="D17" s="153">
        <v>195775</v>
      </c>
      <c r="E17" s="911">
        <f>D17+D18+D19</f>
        <v>440738</v>
      </c>
    </row>
    <row r="18" spans="1:6">
      <c r="A18" s="905"/>
      <c r="B18" s="905"/>
      <c r="C18" s="908"/>
      <c r="D18" s="153">
        <v>77000</v>
      </c>
      <c r="E18" s="912"/>
    </row>
    <row r="19" spans="1:6">
      <c r="A19" s="905"/>
      <c r="B19" s="905"/>
      <c r="C19" s="908"/>
      <c r="D19" s="153">
        <v>167963</v>
      </c>
      <c r="E19" s="913"/>
    </row>
    <row r="20" spans="1:6">
      <c r="A20" s="905" t="s">
        <v>1178</v>
      </c>
      <c r="B20" s="906" t="s">
        <v>1179</v>
      </c>
      <c r="C20" s="909" t="s">
        <v>1180</v>
      </c>
      <c r="D20" s="153">
        <v>25926</v>
      </c>
      <c r="E20" s="911">
        <f>D20+D21</f>
        <v>68022</v>
      </c>
    </row>
    <row r="21" spans="1:6">
      <c r="A21" s="905"/>
      <c r="B21" s="907"/>
      <c r="C21" s="910"/>
      <c r="D21" s="153">
        <v>42096</v>
      </c>
      <c r="E21" s="913"/>
    </row>
    <row r="22" spans="1:6">
      <c r="A22" s="905" t="s">
        <v>1181</v>
      </c>
      <c r="B22" s="906" t="s">
        <v>1182</v>
      </c>
      <c r="C22" s="909" t="s">
        <v>670</v>
      </c>
      <c r="D22" s="153">
        <v>28997</v>
      </c>
      <c r="E22" s="911">
        <f>D22+D23</f>
        <v>32194</v>
      </c>
    </row>
    <row r="23" spans="1:6">
      <c r="A23" s="905"/>
      <c r="B23" s="907"/>
      <c r="C23" s="910"/>
      <c r="D23" s="153">
        <v>3197</v>
      </c>
      <c r="E23" s="913"/>
    </row>
    <row r="24" spans="1:6" ht="14.25">
      <c r="A24" s="132" t="s">
        <v>1183</v>
      </c>
      <c r="B24" s="132" t="s">
        <v>1184</v>
      </c>
      <c r="C24" s="133" t="s">
        <v>1185</v>
      </c>
      <c r="D24" s="153">
        <v>9988</v>
      </c>
      <c r="E24" s="155">
        <v>9988</v>
      </c>
    </row>
    <row r="25" spans="1:6" ht="14.25">
      <c r="A25" s="902" t="s">
        <v>182</v>
      </c>
      <c r="B25" s="903"/>
      <c r="C25" s="903"/>
      <c r="D25" s="904"/>
      <c r="E25" s="155">
        <f>SUM(E4:E24)</f>
        <v>3196832.5714285714</v>
      </c>
      <c r="F25" t="s">
        <v>296</v>
      </c>
    </row>
  </sheetData>
  <mergeCells count="35">
    <mergeCell ref="E17:E19"/>
    <mergeCell ref="E20:E21"/>
    <mergeCell ref="E22:E23"/>
    <mergeCell ref="E4:E5"/>
    <mergeCell ref="E7:E9"/>
    <mergeCell ref="E10:E12"/>
    <mergeCell ref="E13:E14"/>
    <mergeCell ref="E15:E16"/>
    <mergeCell ref="B17:B19"/>
    <mergeCell ref="B20:B21"/>
    <mergeCell ref="B22:B23"/>
    <mergeCell ref="C4:C5"/>
    <mergeCell ref="C7:C9"/>
    <mergeCell ref="C10:C12"/>
    <mergeCell ref="C13:C14"/>
    <mergeCell ref="C15:C16"/>
    <mergeCell ref="C17:C19"/>
    <mergeCell ref="C20:C21"/>
    <mergeCell ref="C22:C23"/>
    <mergeCell ref="A1:E1"/>
    <mergeCell ref="A2:E2"/>
    <mergeCell ref="A25:D25"/>
    <mergeCell ref="A4:A5"/>
    <mergeCell ref="A7:A9"/>
    <mergeCell ref="A10:A12"/>
    <mergeCell ref="A13:A14"/>
    <mergeCell ref="A15:A16"/>
    <mergeCell ref="A17:A19"/>
    <mergeCell ref="A20:A21"/>
    <mergeCell ref="A22:A23"/>
    <mergeCell ref="B4:B5"/>
    <mergeCell ref="B7:B9"/>
    <mergeCell ref="B10:B12"/>
    <mergeCell ref="B13:B14"/>
    <mergeCell ref="B15:B16"/>
  </mergeCells>
  <phoneticPr fontId="92" type="noConversion"/>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dimension ref="A1:M126"/>
  <sheetViews>
    <sheetView topLeftCell="D113" workbookViewId="0">
      <selection activeCell="B42" sqref="B42:B44"/>
    </sheetView>
  </sheetViews>
  <sheetFormatPr defaultColWidth="8.875" defaultRowHeight="13.5"/>
  <cols>
    <col min="1" max="1" width="14" customWidth="1"/>
    <col min="2" max="2" width="15.125" customWidth="1"/>
    <col min="3" max="3" width="20.375" customWidth="1"/>
    <col min="4" max="4" width="12.125" customWidth="1"/>
    <col min="5" max="5" width="14.875" customWidth="1"/>
    <col min="6" max="6" width="12.875" customWidth="1"/>
    <col min="8" max="8" width="20.125" customWidth="1"/>
    <col min="11" max="11" width="16.5" style="142"/>
    <col min="12" max="12" width="15.75" bestFit="1" customWidth="1"/>
  </cols>
  <sheetData>
    <row r="1" spans="1:12" ht="42.75">
      <c r="A1" s="143" t="s">
        <v>2</v>
      </c>
      <c r="B1" s="143" t="s">
        <v>190</v>
      </c>
      <c r="C1" s="143" t="s">
        <v>332</v>
      </c>
      <c r="D1" s="143" t="s">
        <v>368</v>
      </c>
      <c r="E1" s="143" t="s">
        <v>1186</v>
      </c>
      <c r="F1" s="144" t="s">
        <v>1187</v>
      </c>
      <c r="G1" s="143" t="s">
        <v>1188</v>
      </c>
      <c r="H1" s="145" t="s">
        <v>1189</v>
      </c>
      <c r="I1" s="145" t="s">
        <v>1190</v>
      </c>
      <c r="J1" s="143" t="s">
        <v>1188</v>
      </c>
      <c r="K1" s="148" t="s">
        <v>1191</v>
      </c>
      <c r="L1" s="423" t="s">
        <v>3088</v>
      </c>
    </row>
    <row r="2" spans="1:12" ht="14.25">
      <c r="A2" s="933" t="s">
        <v>1192</v>
      </c>
      <c r="B2" s="934">
        <v>3500085731</v>
      </c>
      <c r="C2" s="946" t="s">
        <v>1193</v>
      </c>
      <c r="D2" s="143" t="s">
        <v>1194</v>
      </c>
      <c r="E2" s="146">
        <v>43651</v>
      </c>
      <c r="F2" s="143">
        <v>442765</v>
      </c>
      <c r="G2" s="143" t="s">
        <v>1167</v>
      </c>
      <c r="H2" s="145" t="s">
        <v>1195</v>
      </c>
      <c r="I2" s="145">
        <v>1</v>
      </c>
      <c r="J2" s="143" t="s">
        <v>1167</v>
      </c>
      <c r="K2" s="920">
        <v>2195970</v>
      </c>
      <c r="L2" s="920">
        <f>K2</f>
        <v>2195970</v>
      </c>
    </row>
    <row r="3" spans="1:12" ht="14.25">
      <c r="A3" s="933"/>
      <c r="B3" s="935"/>
      <c r="C3" s="947"/>
      <c r="D3" s="143" t="s">
        <v>1194</v>
      </c>
      <c r="E3" s="146">
        <v>43672</v>
      </c>
      <c r="F3" s="143">
        <v>941425</v>
      </c>
      <c r="G3" s="143" t="s">
        <v>1167</v>
      </c>
      <c r="H3" s="145" t="s">
        <v>1196</v>
      </c>
      <c r="I3" s="145">
        <v>3</v>
      </c>
      <c r="J3" s="143" t="s">
        <v>1167</v>
      </c>
      <c r="K3" s="921"/>
      <c r="L3" s="921"/>
    </row>
    <row r="4" spans="1:12" ht="14.25">
      <c r="A4" s="933"/>
      <c r="B4" s="935"/>
      <c r="C4" s="947"/>
      <c r="D4" s="143" t="s">
        <v>1194</v>
      </c>
      <c r="E4" s="146">
        <v>43669</v>
      </c>
      <c r="F4" s="143">
        <v>486183</v>
      </c>
      <c r="G4" s="143" t="s">
        <v>1167</v>
      </c>
      <c r="H4" s="145"/>
      <c r="I4" s="145">
        <v>4</v>
      </c>
      <c r="J4" s="143" t="s">
        <v>1167</v>
      </c>
      <c r="K4" s="921"/>
      <c r="L4" s="921"/>
    </row>
    <row r="5" spans="1:12" ht="14.25">
      <c r="A5" s="933"/>
      <c r="B5" s="936"/>
      <c r="C5" s="948"/>
      <c r="D5" s="143" t="s">
        <v>1194</v>
      </c>
      <c r="E5" s="146">
        <v>43732</v>
      </c>
      <c r="F5" s="143">
        <v>325597</v>
      </c>
      <c r="G5" s="143" t="s">
        <v>1167</v>
      </c>
      <c r="H5" s="145" t="s">
        <v>1197</v>
      </c>
      <c r="I5" s="145">
        <v>8</v>
      </c>
      <c r="J5" s="143" t="s">
        <v>1167</v>
      </c>
      <c r="K5" s="922"/>
      <c r="L5" s="922"/>
    </row>
    <row r="6" spans="1:12" ht="14.25">
      <c r="A6" s="933"/>
      <c r="B6" s="934">
        <v>6400034719</v>
      </c>
      <c r="C6" s="946" t="s">
        <v>1198</v>
      </c>
      <c r="D6" s="143" t="s">
        <v>540</v>
      </c>
      <c r="E6" s="146">
        <v>43718</v>
      </c>
      <c r="F6" s="143">
        <v>1038090</v>
      </c>
      <c r="G6" s="143" t="s">
        <v>1167</v>
      </c>
      <c r="H6" s="145" t="s">
        <v>1199</v>
      </c>
      <c r="I6" s="145">
        <v>5</v>
      </c>
      <c r="J6" s="143" t="s">
        <v>1167</v>
      </c>
      <c r="K6" s="920">
        <v>2900000</v>
      </c>
      <c r="L6" s="920">
        <f>K6</f>
        <v>2900000</v>
      </c>
    </row>
    <row r="7" spans="1:12" ht="14.25">
      <c r="A7" s="933"/>
      <c r="B7" s="935"/>
      <c r="C7" s="947"/>
      <c r="D7" s="143" t="s">
        <v>540</v>
      </c>
      <c r="E7" s="146">
        <v>43791</v>
      </c>
      <c r="F7" s="143">
        <v>476576</v>
      </c>
      <c r="G7" s="143" t="s">
        <v>1167</v>
      </c>
      <c r="H7" s="145" t="s">
        <v>1200</v>
      </c>
      <c r="I7" s="145">
        <v>24</v>
      </c>
      <c r="J7" s="143" t="s">
        <v>1167</v>
      </c>
      <c r="K7" s="921"/>
      <c r="L7" s="921"/>
    </row>
    <row r="8" spans="1:12" ht="14.25">
      <c r="A8" s="933"/>
      <c r="B8" s="935"/>
      <c r="C8" s="947"/>
      <c r="D8" s="143" t="s">
        <v>540</v>
      </c>
      <c r="E8" s="146">
        <v>43812</v>
      </c>
      <c r="F8" s="143">
        <v>171588</v>
      </c>
      <c r="G8" s="143" t="s">
        <v>1167</v>
      </c>
      <c r="H8" s="145" t="s">
        <v>1201</v>
      </c>
      <c r="I8" s="145">
        <v>30</v>
      </c>
      <c r="J8" s="143" t="s">
        <v>1167</v>
      </c>
      <c r="K8" s="921"/>
      <c r="L8" s="921"/>
    </row>
    <row r="9" spans="1:12" ht="14.25">
      <c r="A9" s="933"/>
      <c r="B9" s="935"/>
      <c r="C9" s="947"/>
      <c r="D9" s="143" t="s">
        <v>540</v>
      </c>
      <c r="E9" s="146">
        <v>43818</v>
      </c>
      <c r="F9" s="143">
        <v>114403</v>
      </c>
      <c r="G9" s="143" t="s">
        <v>1167</v>
      </c>
      <c r="H9" s="145" t="s">
        <v>1202</v>
      </c>
      <c r="I9" s="145">
        <v>33</v>
      </c>
      <c r="J9" s="143" t="s">
        <v>1167</v>
      </c>
      <c r="K9" s="921"/>
      <c r="L9" s="921"/>
    </row>
    <row r="10" spans="1:12" ht="14.25">
      <c r="A10" s="933"/>
      <c r="B10" s="935"/>
      <c r="C10" s="947"/>
      <c r="D10" s="143" t="s">
        <v>540</v>
      </c>
      <c r="E10" s="146">
        <v>43917</v>
      </c>
      <c r="F10" s="143">
        <v>507874</v>
      </c>
      <c r="G10" s="143" t="s">
        <v>1167</v>
      </c>
      <c r="H10" s="145" t="s">
        <v>1203</v>
      </c>
      <c r="I10" s="145">
        <v>69</v>
      </c>
      <c r="J10" s="143" t="s">
        <v>1167</v>
      </c>
      <c r="K10" s="921"/>
      <c r="L10" s="921"/>
    </row>
    <row r="11" spans="1:12" ht="14.25">
      <c r="A11" s="933"/>
      <c r="B11" s="936"/>
      <c r="C11" s="948"/>
      <c r="D11" s="143" t="s">
        <v>540</v>
      </c>
      <c r="E11" s="146">
        <v>43991</v>
      </c>
      <c r="F11" s="143">
        <f>K6-F6-F7-F8-F9-F10</f>
        <v>591469</v>
      </c>
      <c r="G11" s="143" t="s">
        <v>1167</v>
      </c>
      <c r="H11" s="145" t="s">
        <v>1204</v>
      </c>
      <c r="I11" s="145">
        <v>93</v>
      </c>
      <c r="J11" s="143" t="s">
        <v>1167</v>
      </c>
      <c r="K11" s="922"/>
      <c r="L11" s="922"/>
    </row>
    <row r="12" spans="1:12" ht="42.75">
      <c r="A12" s="933"/>
      <c r="B12" s="147" t="s">
        <v>1205</v>
      </c>
      <c r="C12" s="144" t="s">
        <v>1206</v>
      </c>
      <c r="D12" s="143" t="s">
        <v>670</v>
      </c>
      <c r="E12" s="146">
        <v>43658</v>
      </c>
      <c r="F12" s="143">
        <v>270320</v>
      </c>
      <c r="G12" s="143" t="s">
        <v>1207</v>
      </c>
      <c r="H12" s="145" t="s">
        <v>1208</v>
      </c>
      <c r="I12" s="145">
        <v>2</v>
      </c>
      <c r="J12" s="143" t="s">
        <v>1207</v>
      </c>
      <c r="K12" s="148">
        <f>270320*7.0795</f>
        <v>1913730.4400000002</v>
      </c>
      <c r="L12" s="150">
        <f>K12</f>
        <v>1913730.4400000002</v>
      </c>
    </row>
    <row r="13" spans="1:12" ht="14.25">
      <c r="A13" s="933"/>
      <c r="B13" s="934">
        <v>3500085956</v>
      </c>
      <c r="C13" s="946" t="s">
        <v>1193</v>
      </c>
      <c r="D13" s="143" t="s">
        <v>1194</v>
      </c>
      <c r="E13" s="146">
        <v>43732</v>
      </c>
      <c r="F13" s="143">
        <v>1384260</v>
      </c>
      <c r="G13" s="143" t="s">
        <v>1167</v>
      </c>
      <c r="H13" s="145" t="s">
        <v>1197</v>
      </c>
      <c r="I13" s="145">
        <v>8</v>
      </c>
      <c r="J13" s="143" t="s">
        <v>1167</v>
      </c>
      <c r="K13" s="920">
        <v>2091400</v>
      </c>
      <c r="L13" s="920">
        <f>K13</f>
        <v>2091400</v>
      </c>
    </row>
    <row r="14" spans="1:12" ht="14.25">
      <c r="A14" s="933"/>
      <c r="B14" s="936"/>
      <c r="C14" s="948"/>
      <c r="D14" s="143" t="s">
        <v>1194</v>
      </c>
      <c r="E14" s="146">
        <v>43733</v>
      </c>
      <c r="F14" s="143">
        <v>707140</v>
      </c>
      <c r="G14" s="143" t="s">
        <v>1207</v>
      </c>
      <c r="H14" s="145" t="s">
        <v>1209</v>
      </c>
      <c r="I14" s="145">
        <v>9</v>
      </c>
      <c r="J14" s="143" t="s">
        <v>1207</v>
      </c>
      <c r="K14" s="922"/>
      <c r="L14" s="922"/>
    </row>
    <row r="15" spans="1:12" ht="42.75">
      <c r="A15" s="933"/>
      <c r="B15" s="409" t="s">
        <v>1210</v>
      </c>
      <c r="C15" s="144" t="s">
        <v>1206</v>
      </c>
      <c r="D15" s="143" t="s">
        <v>670</v>
      </c>
      <c r="E15" s="146">
        <v>43720</v>
      </c>
      <c r="F15" s="143">
        <v>278000</v>
      </c>
      <c r="G15" s="143" t="s">
        <v>1207</v>
      </c>
      <c r="H15" s="145" t="s">
        <v>1211</v>
      </c>
      <c r="I15" s="145">
        <v>6</v>
      </c>
      <c r="J15" s="143" t="s">
        <v>1207</v>
      </c>
      <c r="K15" s="148">
        <f>278000*7.0795</f>
        <v>1968101</v>
      </c>
      <c r="L15" s="150">
        <f>K15</f>
        <v>1968101</v>
      </c>
    </row>
    <row r="16" spans="1:12" ht="14.25">
      <c r="A16" s="933"/>
      <c r="B16" s="937">
        <v>3500086107</v>
      </c>
      <c r="C16" s="946" t="s">
        <v>1193</v>
      </c>
      <c r="D16" s="143" t="s">
        <v>1194</v>
      </c>
      <c r="E16" s="146">
        <v>43733</v>
      </c>
      <c r="F16" s="143">
        <f>1022446-707140</f>
        <v>315306</v>
      </c>
      <c r="G16" s="143" t="s">
        <v>1167</v>
      </c>
      <c r="H16" s="145" t="s">
        <v>1209</v>
      </c>
      <c r="I16" s="145">
        <v>9</v>
      </c>
      <c r="J16" s="143" t="s">
        <v>1167</v>
      </c>
      <c r="K16" s="920">
        <v>2091400</v>
      </c>
      <c r="L16" s="920">
        <f>K16</f>
        <v>2091400</v>
      </c>
    </row>
    <row r="17" spans="1:12" ht="14.25">
      <c r="A17" s="933"/>
      <c r="B17" s="938"/>
      <c r="C17" s="947"/>
      <c r="D17" s="143" t="s">
        <v>1194</v>
      </c>
      <c r="E17" s="146">
        <v>43749</v>
      </c>
      <c r="F17" s="143">
        <v>750084</v>
      </c>
      <c r="G17" s="143" t="s">
        <v>1167</v>
      </c>
      <c r="H17" s="145" t="s">
        <v>1212</v>
      </c>
      <c r="I17" s="145">
        <v>10</v>
      </c>
      <c r="J17" s="143" t="s">
        <v>1167</v>
      </c>
      <c r="K17" s="921"/>
      <c r="L17" s="921"/>
    </row>
    <row r="18" spans="1:12" ht="14.25">
      <c r="A18" s="933"/>
      <c r="B18" s="939"/>
      <c r="C18" s="948"/>
      <c r="D18" s="143" t="s">
        <v>1194</v>
      </c>
      <c r="E18" s="146">
        <v>43770</v>
      </c>
      <c r="F18" s="143">
        <f>K16-F16-F17</f>
        <v>1026010</v>
      </c>
      <c r="G18" s="143" t="s">
        <v>1167</v>
      </c>
      <c r="H18" s="145" t="s">
        <v>1213</v>
      </c>
      <c r="I18" s="145">
        <v>16</v>
      </c>
      <c r="J18" s="143" t="s">
        <v>1167</v>
      </c>
      <c r="K18" s="922"/>
      <c r="L18" s="922"/>
    </row>
    <row r="19" spans="1:12" s="422" customFormat="1" ht="14.25">
      <c r="A19" s="933"/>
      <c r="B19" s="418" t="s">
        <v>1214</v>
      </c>
      <c r="C19" s="419" t="s">
        <v>1206</v>
      </c>
      <c r="D19" s="419" t="s">
        <v>670</v>
      </c>
      <c r="E19" s="420">
        <v>43720</v>
      </c>
      <c r="F19" s="419">
        <v>278000</v>
      </c>
      <c r="G19" s="419" t="s">
        <v>1207</v>
      </c>
      <c r="H19" s="421" t="s">
        <v>1215</v>
      </c>
      <c r="I19" s="421">
        <v>7</v>
      </c>
      <c r="J19" s="419" t="s">
        <v>1207</v>
      </c>
      <c r="K19" s="149">
        <f>278000*7.0795</f>
        <v>1968101</v>
      </c>
      <c r="L19" s="149">
        <f>K19</f>
        <v>1968101</v>
      </c>
    </row>
    <row r="20" spans="1:12" ht="14.25">
      <c r="A20" s="933"/>
      <c r="B20" s="934">
        <v>19436</v>
      </c>
      <c r="C20" s="946" t="s">
        <v>1193</v>
      </c>
      <c r="D20" s="143" t="s">
        <v>756</v>
      </c>
      <c r="E20" s="146">
        <v>43756</v>
      </c>
      <c r="F20" s="143">
        <v>1271874</v>
      </c>
      <c r="G20" s="143" t="s">
        <v>1167</v>
      </c>
      <c r="H20" s="145" t="s">
        <v>1216</v>
      </c>
      <c r="I20" s="145">
        <v>11</v>
      </c>
      <c r="J20" s="143" t="s">
        <v>1167</v>
      </c>
      <c r="K20" s="929">
        <v>2511000</v>
      </c>
      <c r="L20" s="929">
        <f>K20</f>
        <v>2511000</v>
      </c>
    </row>
    <row r="21" spans="1:12" ht="14.25">
      <c r="A21" s="933"/>
      <c r="B21" s="936"/>
      <c r="C21" s="948"/>
      <c r="D21" s="143" t="s">
        <v>756</v>
      </c>
      <c r="E21" s="146">
        <v>43763</v>
      </c>
      <c r="F21" s="143">
        <f>K20-F20</f>
        <v>1239126</v>
      </c>
      <c r="G21" s="143" t="s">
        <v>1167</v>
      </c>
      <c r="H21" s="145" t="s">
        <v>1217</v>
      </c>
      <c r="I21" s="145">
        <v>13</v>
      </c>
      <c r="J21" s="143" t="s">
        <v>1167</v>
      </c>
      <c r="K21" s="930"/>
      <c r="L21" s="930"/>
    </row>
    <row r="22" spans="1:12" s="388" customFormat="1" ht="14.25">
      <c r="A22" s="933"/>
      <c r="B22" s="937">
        <v>23386178</v>
      </c>
      <c r="C22" s="949" t="s">
        <v>1218</v>
      </c>
      <c r="D22" s="410" t="s">
        <v>456</v>
      </c>
      <c r="E22" s="411">
        <v>43763</v>
      </c>
      <c r="F22" s="410">
        <v>61544</v>
      </c>
      <c r="G22" s="410" t="s">
        <v>1207</v>
      </c>
      <c r="H22" s="412">
        <v>929832890513</v>
      </c>
      <c r="I22" s="412">
        <v>14</v>
      </c>
      <c r="J22" s="410" t="s">
        <v>1207</v>
      </c>
      <c r="K22" s="926">
        <f>363192*7.0795</f>
        <v>2571217.764</v>
      </c>
      <c r="L22" s="926">
        <f>K22</f>
        <v>2571217.764</v>
      </c>
    </row>
    <row r="23" spans="1:12" s="388" customFormat="1" ht="14.25">
      <c r="A23" s="933"/>
      <c r="B23" s="938"/>
      <c r="C23" s="950"/>
      <c r="D23" s="410" t="s">
        <v>456</v>
      </c>
      <c r="E23" s="411">
        <v>43769</v>
      </c>
      <c r="F23" s="410">
        <v>63787</v>
      </c>
      <c r="G23" s="410" t="s">
        <v>1207</v>
      </c>
      <c r="H23" s="412">
        <v>930409675460</v>
      </c>
      <c r="I23" s="412">
        <v>15</v>
      </c>
      <c r="J23" s="410" t="s">
        <v>1207</v>
      </c>
      <c r="K23" s="927"/>
      <c r="L23" s="927"/>
    </row>
    <row r="24" spans="1:12" s="388" customFormat="1" ht="14.25">
      <c r="A24" s="933"/>
      <c r="B24" s="938"/>
      <c r="C24" s="950"/>
      <c r="D24" s="410" t="s">
        <v>456</v>
      </c>
      <c r="E24" s="411">
        <v>43776</v>
      </c>
      <c r="F24" s="410">
        <v>28581</v>
      </c>
      <c r="G24" s="410" t="s">
        <v>1207</v>
      </c>
      <c r="H24" s="412">
        <v>931140646415</v>
      </c>
      <c r="I24" s="412">
        <v>17</v>
      </c>
      <c r="J24" s="410" t="s">
        <v>1207</v>
      </c>
      <c r="K24" s="927"/>
      <c r="L24" s="927"/>
    </row>
    <row r="25" spans="1:12" s="388" customFormat="1" ht="14.25">
      <c r="A25" s="933"/>
      <c r="B25" s="938"/>
      <c r="C25" s="950"/>
      <c r="D25" s="410" t="s">
        <v>456</v>
      </c>
      <c r="E25" s="411">
        <v>43783</v>
      </c>
      <c r="F25" s="410">
        <v>43283</v>
      </c>
      <c r="G25" s="410" t="s">
        <v>1207</v>
      </c>
      <c r="H25" s="412">
        <v>931868612862</v>
      </c>
      <c r="I25" s="412">
        <v>19</v>
      </c>
      <c r="J25" s="410" t="s">
        <v>1207</v>
      </c>
      <c r="K25" s="927"/>
      <c r="L25" s="927"/>
    </row>
    <row r="26" spans="1:12" s="388" customFormat="1" ht="14.25">
      <c r="A26" s="933"/>
      <c r="B26" s="938"/>
      <c r="C26" s="950"/>
      <c r="D26" s="410" t="s">
        <v>456</v>
      </c>
      <c r="E26" s="411">
        <v>43791</v>
      </c>
      <c r="F26" s="410">
        <v>25691</v>
      </c>
      <c r="G26" s="410" t="s">
        <v>1207</v>
      </c>
      <c r="H26" s="412">
        <v>932699589632</v>
      </c>
      <c r="I26" s="412">
        <v>23</v>
      </c>
      <c r="J26" s="410" t="s">
        <v>1207</v>
      </c>
      <c r="K26" s="927"/>
      <c r="L26" s="927"/>
    </row>
    <row r="27" spans="1:12" s="388" customFormat="1" ht="14.25">
      <c r="A27" s="933"/>
      <c r="B27" s="938"/>
      <c r="C27" s="950"/>
      <c r="D27" s="410" t="s">
        <v>456</v>
      </c>
      <c r="E27" s="411">
        <v>43797</v>
      </c>
      <c r="F27" s="410">
        <v>32324</v>
      </c>
      <c r="G27" s="410" t="s">
        <v>1207</v>
      </c>
      <c r="H27" s="412">
        <v>933217535745</v>
      </c>
      <c r="I27" s="412">
        <v>26</v>
      </c>
      <c r="J27" s="410" t="s">
        <v>1207</v>
      </c>
      <c r="K27" s="927"/>
      <c r="L27" s="927"/>
    </row>
    <row r="28" spans="1:12" s="388" customFormat="1" ht="14.25">
      <c r="A28" s="933"/>
      <c r="B28" s="939"/>
      <c r="C28" s="951"/>
      <c r="D28" s="410" t="s">
        <v>456</v>
      </c>
      <c r="E28" s="411">
        <v>43817</v>
      </c>
      <c r="F28" s="410">
        <v>107982</v>
      </c>
      <c r="G28" s="410" t="s">
        <v>1207</v>
      </c>
      <c r="H28" s="412">
        <v>935292107580</v>
      </c>
      <c r="I28" s="412">
        <v>32</v>
      </c>
      <c r="J28" s="410" t="s">
        <v>1207</v>
      </c>
      <c r="K28" s="928"/>
      <c r="L28" s="928"/>
    </row>
    <row r="29" spans="1:12" ht="14.25">
      <c r="A29" s="933"/>
      <c r="B29" s="934">
        <v>55041250</v>
      </c>
      <c r="C29" s="946" t="s">
        <v>1219</v>
      </c>
      <c r="D29" s="143" t="s">
        <v>398</v>
      </c>
      <c r="E29" s="146">
        <v>43830</v>
      </c>
      <c r="F29" s="414">
        <v>396038</v>
      </c>
      <c r="G29" s="143" t="s">
        <v>1167</v>
      </c>
      <c r="H29" s="145" t="s">
        <v>1220</v>
      </c>
      <c r="I29" s="145">
        <v>36</v>
      </c>
      <c r="J29" s="143" t="s">
        <v>1167</v>
      </c>
      <c r="K29" s="923">
        <v>1843800</v>
      </c>
      <c r="L29" s="923">
        <f>F29+F30</f>
        <v>846362</v>
      </c>
    </row>
    <row r="30" spans="1:12" ht="14.25">
      <c r="A30" s="933"/>
      <c r="B30" s="936"/>
      <c r="C30" s="948"/>
      <c r="D30" s="143" t="s">
        <v>398</v>
      </c>
      <c r="E30" s="146">
        <v>43945</v>
      </c>
      <c r="F30" s="414">
        <v>450324</v>
      </c>
      <c r="G30" s="143" t="s">
        <v>1167</v>
      </c>
      <c r="H30" s="145" t="s">
        <v>1221</v>
      </c>
      <c r="I30" s="145">
        <v>77</v>
      </c>
      <c r="J30" s="143" t="s">
        <v>1167</v>
      </c>
      <c r="K30" s="925"/>
      <c r="L30" s="925"/>
    </row>
    <row r="31" spans="1:12" s="388" customFormat="1" ht="21" customHeight="1">
      <c r="A31" s="933"/>
      <c r="B31" s="937">
        <v>56080425</v>
      </c>
      <c r="C31" s="949" t="s">
        <v>1206</v>
      </c>
      <c r="D31" s="410" t="s">
        <v>670</v>
      </c>
      <c r="E31" s="411">
        <v>43762</v>
      </c>
      <c r="F31" s="410">
        <v>489289</v>
      </c>
      <c r="G31" s="410" t="s">
        <v>1207</v>
      </c>
      <c r="H31" s="412" t="s">
        <v>1222</v>
      </c>
      <c r="I31" s="412">
        <v>12</v>
      </c>
      <c r="J31" s="410" t="s">
        <v>1207</v>
      </c>
      <c r="K31" s="926">
        <f>630000*7.0795</f>
        <v>4460085</v>
      </c>
      <c r="L31" s="926">
        <f>K31</f>
        <v>4460085</v>
      </c>
    </row>
    <row r="32" spans="1:12" s="388" customFormat="1" ht="14.25">
      <c r="A32" s="933"/>
      <c r="B32" s="939"/>
      <c r="C32" s="951"/>
      <c r="D32" s="410" t="s">
        <v>670</v>
      </c>
      <c r="E32" s="411">
        <v>43790</v>
      </c>
      <c r="F32" s="410">
        <v>551422</v>
      </c>
      <c r="G32" s="410" t="s">
        <v>1207</v>
      </c>
      <c r="H32" s="412" t="s">
        <v>1223</v>
      </c>
      <c r="I32" s="412">
        <v>22</v>
      </c>
      <c r="J32" s="410" t="s">
        <v>1207</v>
      </c>
      <c r="K32" s="928"/>
      <c r="L32" s="928"/>
    </row>
    <row r="33" spans="1:13" ht="14.25">
      <c r="A33" s="933"/>
      <c r="B33" s="934">
        <v>19450</v>
      </c>
      <c r="C33" s="946" t="s">
        <v>1193</v>
      </c>
      <c r="D33" s="143" t="s">
        <v>756</v>
      </c>
      <c r="E33" s="146">
        <v>43784</v>
      </c>
      <c r="F33" s="143">
        <v>1146200</v>
      </c>
      <c r="G33" s="143" t="s">
        <v>1167</v>
      </c>
      <c r="H33" s="145" t="s">
        <v>1224</v>
      </c>
      <c r="I33" s="145">
        <v>21</v>
      </c>
      <c r="J33" s="143" t="s">
        <v>1167</v>
      </c>
      <c r="K33" s="920">
        <v>2343600</v>
      </c>
      <c r="L33" s="920">
        <f>K33</f>
        <v>2343600</v>
      </c>
    </row>
    <row r="34" spans="1:13" ht="14.25">
      <c r="A34" s="933"/>
      <c r="B34" s="936"/>
      <c r="C34" s="948"/>
      <c r="D34" s="143" t="s">
        <v>756</v>
      </c>
      <c r="E34" s="146">
        <v>43796</v>
      </c>
      <c r="F34" s="143">
        <v>1197400</v>
      </c>
      <c r="G34" s="143" t="s">
        <v>1167</v>
      </c>
      <c r="H34" s="145" t="s">
        <v>1225</v>
      </c>
      <c r="I34" s="145">
        <v>25</v>
      </c>
      <c r="J34" s="143" t="s">
        <v>1167</v>
      </c>
      <c r="K34" s="922"/>
      <c r="L34" s="922"/>
    </row>
    <row r="35" spans="1:13" s="422" customFormat="1" ht="14.25">
      <c r="A35" s="933"/>
      <c r="B35" s="940">
        <v>23386180</v>
      </c>
      <c r="C35" s="952" t="s">
        <v>1218</v>
      </c>
      <c r="D35" s="414" t="s">
        <v>456</v>
      </c>
      <c r="E35" s="415">
        <v>43817</v>
      </c>
      <c r="F35" s="414">
        <f>113310-107982</f>
        <v>5328</v>
      </c>
      <c r="G35" s="414" t="s">
        <v>1207</v>
      </c>
      <c r="H35" s="416">
        <v>935292107580</v>
      </c>
      <c r="I35" s="416">
        <v>32</v>
      </c>
      <c r="J35" s="414" t="s">
        <v>1207</v>
      </c>
      <c r="K35" s="923">
        <f>426050*7.0795</f>
        <v>3016220.9750000001</v>
      </c>
      <c r="L35" s="923"/>
    </row>
    <row r="36" spans="1:13" s="422" customFormat="1" ht="14.25">
      <c r="A36" s="933"/>
      <c r="B36" s="941"/>
      <c r="C36" s="953"/>
      <c r="D36" s="414" t="s">
        <v>456</v>
      </c>
      <c r="E36" s="415">
        <v>43849</v>
      </c>
      <c r="F36" s="414">
        <v>64252</v>
      </c>
      <c r="G36" s="414" t="s">
        <v>1207</v>
      </c>
      <c r="H36" s="425" t="s">
        <v>1226</v>
      </c>
      <c r="I36" s="416">
        <v>41</v>
      </c>
      <c r="J36" s="414" t="s">
        <v>1207</v>
      </c>
      <c r="K36" s="924"/>
      <c r="L36" s="924"/>
    </row>
    <row r="37" spans="1:13" s="422" customFormat="1" ht="14.25">
      <c r="A37" s="933"/>
      <c r="B37" s="941"/>
      <c r="C37" s="953"/>
      <c r="D37" s="414" t="s">
        <v>456</v>
      </c>
      <c r="E37" s="415">
        <v>43881</v>
      </c>
      <c r="F37" s="414">
        <v>59134</v>
      </c>
      <c r="G37" s="414" t="s">
        <v>1207</v>
      </c>
      <c r="H37" s="425" t="s">
        <v>1227</v>
      </c>
      <c r="I37" s="416">
        <v>51</v>
      </c>
      <c r="J37" s="414" t="s">
        <v>1207</v>
      </c>
      <c r="K37" s="924"/>
      <c r="L37" s="924"/>
    </row>
    <row r="38" spans="1:13" s="422" customFormat="1" ht="14.25">
      <c r="A38" s="933"/>
      <c r="B38" s="941"/>
      <c r="C38" s="954"/>
      <c r="D38" s="414" t="s">
        <v>456</v>
      </c>
      <c r="E38" s="415">
        <v>43888</v>
      </c>
      <c r="F38" s="414">
        <v>59898</v>
      </c>
      <c r="G38" s="414" t="s">
        <v>1207</v>
      </c>
      <c r="H38" s="425" t="s">
        <v>1228</v>
      </c>
      <c r="I38" s="416">
        <v>55</v>
      </c>
      <c r="J38" s="414" t="s">
        <v>1207</v>
      </c>
      <c r="K38" s="924"/>
      <c r="L38" s="924"/>
      <c r="M38" s="424" t="s">
        <v>3090</v>
      </c>
    </row>
    <row r="39" spans="1:13" s="422" customFormat="1" ht="14.25">
      <c r="A39" s="933"/>
      <c r="B39" s="941"/>
      <c r="C39" s="952" t="s">
        <v>1229</v>
      </c>
      <c r="D39" s="414" t="s">
        <v>456</v>
      </c>
      <c r="E39" s="415">
        <v>43909</v>
      </c>
      <c r="F39" s="414">
        <v>89814</v>
      </c>
      <c r="G39" s="414" t="s">
        <v>1207</v>
      </c>
      <c r="H39" s="425" t="s">
        <v>1230</v>
      </c>
      <c r="I39" s="416">
        <v>64</v>
      </c>
      <c r="J39" s="414" t="s">
        <v>1207</v>
      </c>
      <c r="K39" s="924"/>
      <c r="L39" s="924"/>
    </row>
    <row r="40" spans="1:13" s="422" customFormat="1" ht="14.25">
      <c r="A40" s="933"/>
      <c r="B40" s="941"/>
      <c r="C40" s="953"/>
      <c r="D40" s="414" t="s">
        <v>456</v>
      </c>
      <c r="E40" s="415">
        <v>43928</v>
      </c>
      <c r="F40" s="414">
        <v>143724</v>
      </c>
      <c r="G40" s="414" t="s">
        <v>1207</v>
      </c>
      <c r="H40" s="425" t="s">
        <v>1231</v>
      </c>
      <c r="I40" s="416">
        <v>75</v>
      </c>
      <c r="J40" s="414" t="s">
        <v>1207</v>
      </c>
      <c r="K40" s="924"/>
      <c r="L40" s="924"/>
    </row>
    <row r="41" spans="1:13" s="422" customFormat="1" ht="14.25">
      <c r="A41" s="933"/>
      <c r="B41" s="942"/>
      <c r="C41" s="954"/>
      <c r="D41" s="414" t="s">
        <v>456</v>
      </c>
      <c r="E41" s="415">
        <v>43934</v>
      </c>
      <c r="F41" s="414">
        <v>3900</v>
      </c>
      <c r="G41" s="414" t="s">
        <v>1207</v>
      </c>
      <c r="H41" s="425" t="s">
        <v>1232</v>
      </c>
      <c r="I41" s="416">
        <v>76</v>
      </c>
      <c r="J41" s="414" t="s">
        <v>1207</v>
      </c>
      <c r="K41" s="925"/>
      <c r="L41" s="925"/>
    </row>
    <row r="42" spans="1:13" ht="14.25">
      <c r="A42" s="933"/>
      <c r="B42" s="934">
        <v>56080426</v>
      </c>
      <c r="C42" s="946" t="s">
        <v>1206</v>
      </c>
      <c r="D42" s="143" t="s">
        <v>670</v>
      </c>
      <c r="E42" s="146">
        <v>43777</v>
      </c>
      <c r="F42" s="143">
        <v>212232</v>
      </c>
      <c r="G42" s="143" t="s">
        <v>1207</v>
      </c>
      <c r="H42" s="145" t="s">
        <v>1233</v>
      </c>
      <c r="I42" s="145">
        <v>18</v>
      </c>
      <c r="J42" s="143" t="s">
        <v>1207</v>
      </c>
      <c r="K42" s="920">
        <f>667000*7.0795</f>
        <v>4722026.5</v>
      </c>
      <c r="L42" s="920">
        <f>K42</f>
        <v>4722026.5</v>
      </c>
    </row>
    <row r="43" spans="1:13" ht="14.25">
      <c r="A43" s="933"/>
      <c r="B43" s="935"/>
      <c r="C43" s="947"/>
      <c r="D43" s="143" t="s">
        <v>670</v>
      </c>
      <c r="E43" s="146">
        <v>43784</v>
      </c>
      <c r="F43" s="143">
        <v>400032</v>
      </c>
      <c r="G43" s="143" t="s">
        <v>1207</v>
      </c>
      <c r="H43" s="145" t="s">
        <v>1234</v>
      </c>
      <c r="I43" s="145">
        <v>20</v>
      </c>
      <c r="J43" s="143" t="s">
        <v>1207</v>
      </c>
      <c r="K43" s="921"/>
      <c r="L43" s="921"/>
    </row>
    <row r="44" spans="1:13" ht="14.25">
      <c r="A44" s="933"/>
      <c r="B44" s="936"/>
      <c r="C44" s="948"/>
      <c r="D44" s="143" t="s">
        <v>670</v>
      </c>
      <c r="E44" s="146">
        <v>43790</v>
      </c>
      <c r="F44" s="143">
        <f>K42-F42-F43</f>
        <v>4109762.5</v>
      </c>
      <c r="G44" s="143" t="s">
        <v>1207</v>
      </c>
      <c r="H44" s="145" t="s">
        <v>1223</v>
      </c>
      <c r="I44" s="145">
        <v>22</v>
      </c>
      <c r="J44" s="143" t="s">
        <v>1207</v>
      </c>
      <c r="K44" s="922"/>
      <c r="L44" s="922"/>
    </row>
    <row r="45" spans="1:13" ht="14.25">
      <c r="A45" s="933"/>
      <c r="B45" s="147" t="s">
        <v>1235</v>
      </c>
      <c r="C45" s="143" t="s">
        <v>1206</v>
      </c>
      <c r="D45" s="143" t="s">
        <v>670</v>
      </c>
      <c r="E45" s="146">
        <v>43777</v>
      </c>
      <c r="F45" s="143">
        <v>278000</v>
      </c>
      <c r="G45" s="143" t="s">
        <v>1207</v>
      </c>
      <c r="H45" s="145" t="s">
        <v>1233</v>
      </c>
      <c r="I45" s="145">
        <v>18</v>
      </c>
      <c r="J45" s="143" t="s">
        <v>1207</v>
      </c>
      <c r="K45" s="148">
        <f>278000*7.0795</f>
        <v>1968101</v>
      </c>
      <c r="L45" s="148">
        <f>K45</f>
        <v>1968101</v>
      </c>
    </row>
    <row r="46" spans="1:13" s="422" customFormat="1" ht="14.25">
      <c r="A46" s="933"/>
      <c r="B46" s="943">
        <v>19454</v>
      </c>
      <c r="C46" s="955" t="s">
        <v>1193</v>
      </c>
      <c r="D46" s="419" t="s">
        <v>756</v>
      </c>
      <c r="E46" s="420">
        <v>43822</v>
      </c>
      <c r="F46" s="419">
        <v>2329292</v>
      </c>
      <c r="G46" s="419" t="s">
        <v>1167</v>
      </c>
      <c r="H46" s="421" t="s">
        <v>1236</v>
      </c>
      <c r="I46" s="421">
        <v>35</v>
      </c>
      <c r="J46" s="419" t="s">
        <v>1167</v>
      </c>
      <c r="K46" s="917">
        <v>2343600</v>
      </c>
      <c r="L46" s="917">
        <f>K46</f>
        <v>2343600</v>
      </c>
    </row>
    <row r="47" spans="1:13" s="422" customFormat="1" ht="14.25">
      <c r="A47" s="933"/>
      <c r="B47" s="944"/>
      <c r="C47" s="956"/>
      <c r="D47" s="419" t="s">
        <v>756</v>
      </c>
      <c r="E47" s="420">
        <v>43846</v>
      </c>
      <c r="F47" s="419">
        <f>K46-F46</f>
        <v>14308</v>
      </c>
      <c r="G47" s="419" t="s">
        <v>1167</v>
      </c>
      <c r="H47" s="421" t="s">
        <v>1237</v>
      </c>
      <c r="I47" s="421">
        <v>39</v>
      </c>
      <c r="J47" s="419" t="s">
        <v>1167</v>
      </c>
      <c r="K47" s="919"/>
      <c r="L47" s="919"/>
    </row>
    <row r="48" spans="1:13" ht="14.25">
      <c r="A48" s="933"/>
      <c r="B48" s="934">
        <v>19458</v>
      </c>
      <c r="C48" s="946" t="s">
        <v>1193</v>
      </c>
      <c r="D48" s="143" t="s">
        <v>756</v>
      </c>
      <c r="E48" s="146">
        <v>43846</v>
      </c>
      <c r="F48" s="143">
        <f>328832-14308</f>
        <v>314524</v>
      </c>
      <c r="G48" s="143" t="s">
        <v>1167</v>
      </c>
      <c r="H48" s="145" t="s">
        <v>1237</v>
      </c>
      <c r="I48" s="145">
        <v>39</v>
      </c>
      <c r="J48" s="143" t="s">
        <v>1167</v>
      </c>
      <c r="K48" s="920">
        <v>2310000</v>
      </c>
      <c r="L48" s="920">
        <f>K48</f>
        <v>2310000</v>
      </c>
    </row>
    <row r="49" spans="1:13" ht="14.25">
      <c r="A49" s="933"/>
      <c r="B49" s="935"/>
      <c r="C49" s="947"/>
      <c r="D49" s="143" t="s">
        <v>756</v>
      </c>
      <c r="E49" s="146">
        <v>43849</v>
      </c>
      <c r="F49" s="143">
        <v>1107355</v>
      </c>
      <c r="G49" s="143" t="s">
        <v>1167</v>
      </c>
      <c r="H49" s="145" t="s">
        <v>1238</v>
      </c>
      <c r="I49" s="145">
        <v>42</v>
      </c>
      <c r="J49" s="143" t="s">
        <v>1167</v>
      </c>
      <c r="K49" s="921"/>
      <c r="L49" s="921"/>
    </row>
    <row r="50" spans="1:13" ht="14.25">
      <c r="A50" s="933"/>
      <c r="B50" s="936"/>
      <c r="C50" s="948"/>
      <c r="D50" s="143" t="s">
        <v>756</v>
      </c>
      <c r="E50" s="146">
        <v>43872</v>
      </c>
      <c r="F50" s="143">
        <v>888121</v>
      </c>
      <c r="G50" s="143" t="s">
        <v>1167</v>
      </c>
      <c r="H50" s="145" t="s">
        <v>1239</v>
      </c>
      <c r="I50" s="145">
        <v>47</v>
      </c>
      <c r="J50" s="143" t="s">
        <v>1167</v>
      </c>
      <c r="K50" s="922"/>
      <c r="L50" s="922"/>
    </row>
    <row r="51" spans="1:13" s="422" customFormat="1" ht="14.25">
      <c r="A51" s="933"/>
      <c r="B51" s="943">
        <v>56080433</v>
      </c>
      <c r="C51" s="955" t="s">
        <v>1206</v>
      </c>
      <c r="D51" s="419" t="s">
        <v>670</v>
      </c>
      <c r="E51" s="420">
        <v>43805</v>
      </c>
      <c r="F51" s="419">
        <v>307471</v>
      </c>
      <c r="G51" s="419" t="s">
        <v>1207</v>
      </c>
      <c r="H51" s="421" t="s">
        <v>1240</v>
      </c>
      <c r="I51" s="421">
        <v>27</v>
      </c>
      <c r="J51" s="419" t="s">
        <v>1207</v>
      </c>
      <c r="K51" s="917">
        <f>756000*7.0795</f>
        <v>5352102</v>
      </c>
      <c r="L51" s="917">
        <f>K51</f>
        <v>5352102</v>
      </c>
    </row>
    <row r="52" spans="1:13" s="422" customFormat="1" ht="14.25">
      <c r="A52" s="933"/>
      <c r="B52" s="944"/>
      <c r="C52" s="956"/>
      <c r="D52" s="419" t="s">
        <v>670</v>
      </c>
      <c r="E52" s="420">
        <v>43812</v>
      </c>
      <c r="F52" s="419">
        <v>448529</v>
      </c>
      <c r="G52" s="419" t="s">
        <v>1207</v>
      </c>
      <c r="H52" s="421" t="s">
        <v>1241</v>
      </c>
      <c r="I52" s="421">
        <v>31</v>
      </c>
      <c r="J52" s="419" t="s">
        <v>1207</v>
      </c>
      <c r="K52" s="919"/>
      <c r="L52" s="919"/>
    </row>
    <row r="53" spans="1:13" s="422" customFormat="1" ht="14.25">
      <c r="A53" s="933"/>
      <c r="B53" s="934">
        <v>3500086112</v>
      </c>
      <c r="C53" s="946" t="s">
        <v>1193</v>
      </c>
      <c r="D53" s="419" t="s">
        <v>1194</v>
      </c>
      <c r="E53" s="420">
        <v>43808</v>
      </c>
      <c r="F53" s="419">
        <v>425037</v>
      </c>
      <c r="G53" s="419" t="s">
        <v>1167</v>
      </c>
      <c r="H53" s="421" t="s">
        <v>1242</v>
      </c>
      <c r="I53" s="421">
        <v>28</v>
      </c>
      <c r="J53" s="419" t="s">
        <v>1167</v>
      </c>
      <c r="K53" s="920">
        <v>1857051</v>
      </c>
      <c r="L53" s="920">
        <f>K53</f>
        <v>1857051</v>
      </c>
    </row>
    <row r="54" spans="1:13" ht="14.25">
      <c r="A54" s="933"/>
      <c r="B54" s="935"/>
      <c r="C54" s="947"/>
      <c r="D54" s="143" t="s">
        <v>1194</v>
      </c>
      <c r="E54" s="146">
        <v>43812</v>
      </c>
      <c r="F54" s="143">
        <v>431302</v>
      </c>
      <c r="G54" s="143" t="s">
        <v>1167</v>
      </c>
      <c r="H54" s="145" t="s">
        <v>1243</v>
      </c>
      <c r="I54" s="145">
        <v>29</v>
      </c>
      <c r="J54" s="143" t="s">
        <v>1167</v>
      </c>
      <c r="K54" s="921"/>
      <c r="L54" s="921"/>
    </row>
    <row r="55" spans="1:13" ht="14.25">
      <c r="A55" s="933"/>
      <c r="B55" s="935"/>
      <c r="C55" s="947"/>
      <c r="D55" s="143" t="s">
        <v>1194</v>
      </c>
      <c r="E55" s="146">
        <v>43894</v>
      </c>
      <c r="F55" s="143">
        <v>476472</v>
      </c>
      <c r="G55" s="143" t="s">
        <v>1167</v>
      </c>
      <c r="H55" s="145" t="s">
        <v>1244</v>
      </c>
      <c r="I55" s="145">
        <v>56</v>
      </c>
      <c r="J55" s="143" t="s">
        <v>1167</v>
      </c>
      <c r="K55" s="921"/>
      <c r="L55" s="921"/>
    </row>
    <row r="56" spans="1:13" ht="14.25">
      <c r="A56" s="933"/>
      <c r="B56" s="936"/>
      <c r="C56" s="948"/>
      <c r="D56" s="143" t="s">
        <v>1194</v>
      </c>
      <c r="E56" s="146">
        <v>43894</v>
      </c>
      <c r="F56" s="143">
        <v>524240</v>
      </c>
      <c r="G56" s="143" t="s">
        <v>1167</v>
      </c>
      <c r="H56" s="145" t="s">
        <v>1245</v>
      </c>
      <c r="I56" s="145">
        <v>57</v>
      </c>
      <c r="J56" s="143" t="s">
        <v>1167</v>
      </c>
      <c r="K56" s="922"/>
      <c r="L56" s="922"/>
    </row>
    <row r="57" spans="1:13" s="422" customFormat="1" ht="42.75">
      <c r="A57" s="933"/>
      <c r="B57" s="418" t="s">
        <v>1246</v>
      </c>
      <c r="C57" s="427" t="s">
        <v>1206</v>
      </c>
      <c r="D57" s="419" t="s">
        <v>670</v>
      </c>
      <c r="E57" s="420">
        <v>43805</v>
      </c>
      <c r="F57" s="419">
        <v>302400</v>
      </c>
      <c r="G57" s="419" t="s">
        <v>1207</v>
      </c>
      <c r="H57" s="421" t="s">
        <v>1240</v>
      </c>
      <c r="I57" s="421">
        <v>27</v>
      </c>
      <c r="J57" s="419" t="s">
        <v>1207</v>
      </c>
      <c r="K57" s="149">
        <f>302400*7.0795</f>
        <v>2140840.8000000003</v>
      </c>
      <c r="L57" s="149">
        <f>K57</f>
        <v>2140840.8000000003</v>
      </c>
    </row>
    <row r="58" spans="1:13" ht="14.25">
      <c r="A58" s="933"/>
      <c r="B58" s="934">
        <v>19461</v>
      </c>
      <c r="C58" s="946" t="s">
        <v>1193</v>
      </c>
      <c r="D58" s="143" t="s">
        <v>756</v>
      </c>
      <c r="E58" s="146">
        <v>43872</v>
      </c>
      <c r="F58" s="143">
        <f>950229-888121</f>
        <v>62108</v>
      </c>
      <c r="G58" s="143" t="s">
        <v>1167</v>
      </c>
      <c r="H58" s="145" t="s">
        <v>1239</v>
      </c>
      <c r="I58" s="145">
        <v>47</v>
      </c>
      <c r="J58" s="143" t="s">
        <v>1167</v>
      </c>
      <c r="K58" s="920">
        <v>2310000</v>
      </c>
      <c r="L58" s="920">
        <f>K58</f>
        <v>2310000</v>
      </c>
    </row>
    <row r="59" spans="1:13" ht="14.25">
      <c r="A59" s="933"/>
      <c r="B59" s="935"/>
      <c r="C59" s="947"/>
      <c r="D59" s="143" t="s">
        <v>756</v>
      </c>
      <c r="E59" s="146">
        <v>43872</v>
      </c>
      <c r="F59" s="143">
        <v>496177</v>
      </c>
      <c r="G59" s="143" t="s">
        <v>1167</v>
      </c>
      <c r="H59" s="145" t="s">
        <v>1247</v>
      </c>
      <c r="I59" s="145">
        <v>48</v>
      </c>
      <c r="J59" s="143" t="s">
        <v>1167</v>
      </c>
      <c r="K59" s="921"/>
      <c r="L59" s="921"/>
    </row>
    <row r="60" spans="1:13" ht="14.25">
      <c r="A60" s="933"/>
      <c r="B60" s="935"/>
      <c r="C60" s="947"/>
      <c r="D60" s="143" t="s">
        <v>756</v>
      </c>
      <c r="E60" s="146">
        <v>43886</v>
      </c>
      <c r="F60" s="143">
        <v>1292026</v>
      </c>
      <c r="G60" s="143" t="s">
        <v>1167</v>
      </c>
      <c r="H60" s="145" t="s">
        <v>1248</v>
      </c>
      <c r="I60" s="145">
        <v>53</v>
      </c>
      <c r="J60" s="143" t="s">
        <v>1167</v>
      </c>
      <c r="K60" s="921"/>
      <c r="L60" s="921"/>
    </row>
    <row r="61" spans="1:13" ht="14.25">
      <c r="A61" s="933"/>
      <c r="B61" s="936"/>
      <c r="C61" s="948"/>
      <c r="D61" s="143" t="s">
        <v>756</v>
      </c>
      <c r="E61" s="146">
        <v>43888</v>
      </c>
      <c r="F61" s="143">
        <v>459689</v>
      </c>
      <c r="G61" s="143" t="s">
        <v>1167</v>
      </c>
      <c r="H61" s="145" t="s">
        <v>1249</v>
      </c>
      <c r="I61" s="145">
        <v>54</v>
      </c>
      <c r="J61" s="143" t="s">
        <v>1167</v>
      </c>
      <c r="K61" s="922"/>
      <c r="L61" s="922"/>
    </row>
    <row r="62" spans="1:13" s="154" customFormat="1" ht="14.25">
      <c r="A62" s="933"/>
      <c r="B62" s="940">
        <v>55135248</v>
      </c>
      <c r="C62" s="952" t="s">
        <v>1250</v>
      </c>
      <c r="D62" s="414" t="s">
        <v>459</v>
      </c>
      <c r="E62" s="415">
        <v>43819</v>
      </c>
      <c r="F62" s="414">
        <v>452912</v>
      </c>
      <c r="G62" s="414" t="s">
        <v>1167</v>
      </c>
      <c r="H62" s="416" t="s">
        <v>1251</v>
      </c>
      <c r="I62" s="416">
        <v>34</v>
      </c>
      <c r="J62" s="414" t="s">
        <v>1167</v>
      </c>
      <c r="K62" s="923">
        <v>2057700</v>
      </c>
      <c r="L62" s="923"/>
    </row>
    <row r="63" spans="1:13" s="154" customFormat="1" ht="14.25">
      <c r="A63" s="933"/>
      <c r="B63" s="942"/>
      <c r="C63" s="954"/>
      <c r="D63" s="414" t="s">
        <v>459</v>
      </c>
      <c r="E63" s="415">
        <v>43878</v>
      </c>
      <c r="F63" s="414">
        <v>228780</v>
      </c>
      <c r="G63" s="414" t="s">
        <v>1167</v>
      </c>
      <c r="H63" s="416" t="s">
        <v>1252</v>
      </c>
      <c r="I63" s="416">
        <v>49</v>
      </c>
      <c r="J63" s="414" t="s">
        <v>1167</v>
      </c>
      <c r="K63" s="925"/>
      <c r="L63" s="925"/>
      <c r="M63" s="154" t="s">
        <v>3089</v>
      </c>
    </row>
    <row r="64" spans="1:13" ht="14.25">
      <c r="A64" s="933"/>
      <c r="B64" s="934">
        <v>56080436</v>
      </c>
      <c r="C64" s="946" t="s">
        <v>1253</v>
      </c>
      <c r="D64" s="143" t="s">
        <v>670</v>
      </c>
      <c r="E64" s="146">
        <v>43832</v>
      </c>
      <c r="F64" s="143">
        <v>115069</v>
      </c>
      <c r="G64" s="143" t="s">
        <v>1207</v>
      </c>
      <c r="H64" s="145" t="s">
        <v>1254</v>
      </c>
      <c r="I64" s="145">
        <v>37</v>
      </c>
      <c r="J64" s="143" t="s">
        <v>1207</v>
      </c>
      <c r="K64" s="920">
        <f>924000*7.0795</f>
        <v>6541458</v>
      </c>
      <c r="L64" s="920">
        <f>K64</f>
        <v>6541458</v>
      </c>
    </row>
    <row r="65" spans="1:12" ht="14.25">
      <c r="A65" s="933"/>
      <c r="B65" s="935"/>
      <c r="C65" s="947"/>
      <c r="D65" s="143" t="s">
        <v>670</v>
      </c>
      <c r="E65" s="146">
        <v>43839</v>
      </c>
      <c r="F65" s="143">
        <v>354586</v>
      </c>
      <c r="G65" s="143" t="s">
        <v>1207</v>
      </c>
      <c r="H65" s="145" t="s">
        <v>1255</v>
      </c>
      <c r="I65" s="145">
        <v>38</v>
      </c>
      <c r="J65" s="143" t="s">
        <v>1207</v>
      </c>
      <c r="K65" s="921"/>
      <c r="L65" s="921"/>
    </row>
    <row r="66" spans="1:12" ht="14.25">
      <c r="A66" s="933"/>
      <c r="B66" s="935"/>
      <c r="C66" s="947"/>
      <c r="D66" s="143" t="s">
        <v>670</v>
      </c>
      <c r="E66" s="146">
        <v>43847</v>
      </c>
      <c r="F66" s="143">
        <v>352389</v>
      </c>
      <c r="G66" s="143" t="s">
        <v>1207</v>
      </c>
      <c r="H66" s="145" t="s">
        <v>1256</v>
      </c>
      <c r="I66" s="145">
        <v>40</v>
      </c>
      <c r="J66" s="143" t="s">
        <v>1207</v>
      </c>
      <c r="K66" s="921"/>
      <c r="L66" s="921"/>
    </row>
    <row r="67" spans="1:12" ht="14.25">
      <c r="A67" s="933"/>
      <c r="B67" s="936"/>
      <c r="C67" s="948"/>
      <c r="D67" s="143" t="s">
        <v>670</v>
      </c>
      <c r="E67" s="146">
        <v>43864</v>
      </c>
      <c r="F67" s="143">
        <v>101956</v>
      </c>
      <c r="G67" s="143" t="s">
        <v>1207</v>
      </c>
      <c r="H67" s="145" t="s">
        <v>1257</v>
      </c>
      <c r="I67" s="145">
        <v>43</v>
      </c>
      <c r="J67" s="143" t="s">
        <v>1207</v>
      </c>
      <c r="K67" s="922"/>
      <c r="L67" s="922"/>
    </row>
    <row r="68" spans="1:12" s="422" customFormat="1" ht="14.25">
      <c r="A68" s="933"/>
      <c r="B68" s="943">
        <v>3500086119</v>
      </c>
      <c r="C68" s="955" t="s">
        <v>1193</v>
      </c>
      <c r="D68" s="419" t="s">
        <v>1194</v>
      </c>
      <c r="E68" s="420">
        <v>43894</v>
      </c>
      <c r="F68" s="419">
        <f>795386-524240</f>
        <v>271146</v>
      </c>
      <c r="G68" s="419" t="s">
        <v>1167</v>
      </c>
      <c r="H68" s="421" t="s">
        <v>1245</v>
      </c>
      <c r="I68" s="421">
        <v>57</v>
      </c>
      <c r="J68" s="419" t="s">
        <v>1167</v>
      </c>
      <c r="K68" s="917">
        <v>1768600</v>
      </c>
      <c r="L68" s="917">
        <f>K68</f>
        <v>1768600</v>
      </c>
    </row>
    <row r="69" spans="1:12" s="422" customFormat="1" ht="14.25">
      <c r="A69" s="933"/>
      <c r="B69" s="945"/>
      <c r="C69" s="957"/>
      <c r="D69" s="419" t="s">
        <v>1194</v>
      </c>
      <c r="E69" s="420">
        <v>43895</v>
      </c>
      <c r="F69" s="419">
        <v>1490827</v>
      </c>
      <c r="G69" s="419" t="s">
        <v>1167</v>
      </c>
      <c r="H69" s="421" t="s">
        <v>1258</v>
      </c>
      <c r="I69" s="421">
        <v>58</v>
      </c>
      <c r="J69" s="419" t="s">
        <v>1167</v>
      </c>
      <c r="K69" s="918"/>
      <c r="L69" s="918"/>
    </row>
    <row r="70" spans="1:12" s="422" customFormat="1" ht="14.25">
      <c r="A70" s="933"/>
      <c r="B70" s="944"/>
      <c r="C70" s="956"/>
      <c r="D70" s="419" t="s">
        <v>1194</v>
      </c>
      <c r="E70" s="420">
        <v>43915</v>
      </c>
      <c r="F70" s="419">
        <v>6627</v>
      </c>
      <c r="G70" s="419" t="s">
        <v>1167</v>
      </c>
      <c r="H70" s="421" t="s">
        <v>1259</v>
      </c>
      <c r="I70" s="421">
        <v>67</v>
      </c>
      <c r="J70" s="419" t="s">
        <v>1167</v>
      </c>
      <c r="K70" s="919"/>
      <c r="L70" s="919"/>
    </row>
    <row r="71" spans="1:12" ht="28.5">
      <c r="A71" s="933"/>
      <c r="B71" s="413">
        <v>2354249</v>
      </c>
      <c r="C71" s="426" t="s">
        <v>1260</v>
      </c>
      <c r="D71" s="414" t="s">
        <v>540</v>
      </c>
      <c r="E71" s="415">
        <v>43871</v>
      </c>
      <c r="F71" s="414">
        <v>231152</v>
      </c>
      <c r="G71" s="414" t="s">
        <v>1207</v>
      </c>
      <c r="H71" s="416" t="s">
        <v>1261</v>
      </c>
      <c r="I71" s="416">
        <v>46</v>
      </c>
      <c r="J71" s="414" t="s">
        <v>1207</v>
      </c>
      <c r="K71" s="417">
        <f>231152*7.0795</f>
        <v>1636440.584</v>
      </c>
      <c r="L71" s="148"/>
    </row>
    <row r="72" spans="1:12" ht="14.25">
      <c r="A72" s="933"/>
      <c r="B72" s="934">
        <v>56080439</v>
      </c>
      <c r="C72" s="958" t="s">
        <v>1253</v>
      </c>
      <c r="D72" s="143" t="s">
        <v>670</v>
      </c>
      <c r="E72" s="146">
        <v>43864</v>
      </c>
      <c r="F72" s="143">
        <v>326848</v>
      </c>
      <c r="G72" s="143" t="s">
        <v>1207</v>
      </c>
      <c r="H72" s="145" t="s">
        <v>1257</v>
      </c>
      <c r="I72" s="145">
        <v>43</v>
      </c>
      <c r="J72" s="143" t="s">
        <v>1207</v>
      </c>
      <c r="K72" s="920">
        <f>924000*7.0795</f>
        <v>6541458</v>
      </c>
      <c r="L72" s="920">
        <f>K72</f>
        <v>6541458</v>
      </c>
    </row>
    <row r="73" spans="1:12" ht="14.25">
      <c r="A73" s="933"/>
      <c r="B73" s="935"/>
      <c r="C73" s="959"/>
      <c r="D73" s="143" t="s">
        <v>670</v>
      </c>
      <c r="E73" s="146">
        <v>43871</v>
      </c>
      <c r="F73" s="143">
        <v>130952</v>
      </c>
      <c r="G73" s="143" t="s">
        <v>1207</v>
      </c>
      <c r="H73" s="145" t="s">
        <v>1262</v>
      </c>
      <c r="I73" s="145">
        <v>44</v>
      </c>
      <c r="J73" s="143" t="s">
        <v>1207</v>
      </c>
      <c r="K73" s="921"/>
      <c r="L73" s="921"/>
    </row>
    <row r="74" spans="1:12" ht="14.25">
      <c r="A74" s="933"/>
      <c r="B74" s="935"/>
      <c r="C74" s="959"/>
      <c r="D74" s="143" t="s">
        <v>670</v>
      </c>
      <c r="E74" s="146">
        <v>43871</v>
      </c>
      <c r="F74" s="143">
        <v>203317</v>
      </c>
      <c r="G74" s="143" t="s">
        <v>1207</v>
      </c>
      <c r="H74" s="145" t="s">
        <v>1263</v>
      </c>
      <c r="I74" s="145">
        <v>45</v>
      </c>
      <c r="J74" s="143" t="s">
        <v>1207</v>
      </c>
      <c r="K74" s="921"/>
      <c r="L74" s="921"/>
    </row>
    <row r="75" spans="1:12" ht="14.25">
      <c r="A75" s="933"/>
      <c r="B75" s="935"/>
      <c r="C75" s="959"/>
      <c r="D75" s="143" t="s">
        <v>670</v>
      </c>
      <c r="E75" s="146">
        <v>43879</v>
      </c>
      <c r="F75" s="143">
        <v>111583</v>
      </c>
      <c r="G75" s="143" t="s">
        <v>1207</v>
      </c>
      <c r="H75" s="145" t="s">
        <v>1264</v>
      </c>
      <c r="I75" s="145">
        <v>50</v>
      </c>
      <c r="J75" s="143" t="s">
        <v>1207</v>
      </c>
      <c r="K75" s="921"/>
      <c r="L75" s="921"/>
    </row>
    <row r="76" spans="1:12" ht="14.25">
      <c r="A76" s="933"/>
      <c r="B76" s="935"/>
      <c r="C76" s="959"/>
      <c r="D76" s="143" t="s">
        <v>670</v>
      </c>
      <c r="E76" s="146">
        <v>43895</v>
      </c>
      <c r="F76" s="143">
        <v>89445</v>
      </c>
      <c r="G76" s="143" t="s">
        <v>1207</v>
      </c>
      <c r="H76" s="145" t="s">
        <v>1265</v>
      </c>
      <c r="I76" s="145">
        <v>59</v>
      </c>
      <c r="J76" s="143" t="s">
        <v>1207</v>
      </c>
      <c r="K76" s="921"/>
      <c r="L76" s="921"/>
    </row>
    <row r="77" spans="1:12" ht="14.25">
      <c r="A77" s="933"/>
      <c r="B77" s="936"/>
      <c r="C77" s="960"/>
      <c r="D77" s="143" t="s">
        <v>670</v>
      </c>
      <c r="E77" s="146">
        <v>43895</v>
      </c>
      <c r="F77" s="143">
        <v>61855</v>
      </c>
      <c r="G77" s="143" t="s">
        <v>1207</v>
      </c>
      <c r="H77" s="145" t="s">
        <v>1266</v>
      </c>
      <c r="I77" s="145">
        <v>60</v>
      </c>
      <c r="J77" s="143" t="s">
        <v>1207</v>
      </c>
      <c r="K77" s="922"/>
      <c r="L77" s="922"/>
    </row>
    <row r="78" spans="1:12" s="388" customFormat="1" ht="14.25">
      <c r="A78" s="933"/>
      <c r="B78" s="937" t="s">
        <v>1267</v>
      </c>
      <c r="C78" s="949" t="s">
        <v>1253</v>
      </c>
      <c r="D78" s="410" t="s">
        <v>670</v>
      </c>
      <c r="E78" s="411">
        <v>43895</v>
      </c>
      <c r="F78" s="410">
        <v>95942</v>
      </c>
      <c r="G78" s="410" t="s">
        <v>1207</v>
      </c>
      <c r="H78" s="412" t="s">
        <v>1266</v>
      </c>
      <c r="I78" s="412">
        <v>60</v>
      </c>
      <c r="J78" s="410" t="s">
        <v>1207</v>
      </c>
      <c r="K78" s="926">
        <f>278000*7.0795</f>
        <v>1968101</v>
      </c>
      <c r="L78" s="926">
        <f>K78</f>
        <v>1968101</v>
      </c>
    </row>
    <row r="79" spans="1:12" s="388" customFormat="1" ht="14.25">
      <c r="A79" s="933"/>
      <c r="B79" s="938"/>
      <c r="C79" s="950"/>
      <c r="D79" s="410" t="s">
        <v>670</v>
      </c>
      <c r="E79" s="411">
        <v>43902</v>
      </c>
      <c r="F79" s="410">
        <v>144923</v>
      </c>
      <c r="G79" s="410" t="s">
        <v>1207</v>
      </c>
      <c r="H79" s="412" t="s">
        <v>1268</v>
      </c>
      <c r="I79" s="412">
        <v>61</v>
      </c>
      <c r="J79" s="410" t="s">
        <v>1207</v>
      </c>
      <c r="K79" s="927"/>
      <c r="L79" s="927"/>
    </row>
    <row r="80" spans="1:12" s="388" customFormat="1" ht="14.25">
      <c r="A80" s="933"/>
      <c r="B80" s="939"/>
      <c r="C80" s="951"/>
      <c r="D80" s="410" t="s">
        <v>670</v>
      </c>
      <c r="E80" s="411">
        <v>43902</v>
      </c>
      <c r="F80" s="410">
        <v>37135</v>
      </c>
      <c r="G80" s="410" t="s">
        <v>1207</v>
      </c>
      <c r="H80" s="412" t="s">
        <v>1269</v>
      </c>
      <c r="I80" s="412">
        <v>62</v>
      </c>
      <c r="J80" s="410" t="s">
        <v>1207</v>
      </c>
      <c r="K80" s="928"/>
      <c r="L80" s="928"/>
    </row>
    <row r="81" spans="1:12" ht="14.25">
      <c r="A81" s="933"/>
      <c r="B81" s="934">
        <v>19465</v>
      </c>
      <c r="C81" s="946" t="s">
        <v>1193</v>
      </c>
      <c r="D81" s="143" t="s">
        <v>756</v>
      </c>
      <c r="E81" s="146">
        <v>43907</v>
      </c>
      <c r="F81" s="143">
        <v>1101570</v>
      </c>
      <c r="G81" s="143" t="s">
        <v>1167</v>
      </c>
      <c r="H81" s="145" t="s">
        <v>1270</v>
      </c>
      <c r="I81" s="145">
        <v>63</v>
      </c>
      <c r="J81" s="143" t="s">
        <v>1167</v>
      </c>
      <c r="K81" s="920">
        <v>2343600</v>
      </c>
      <c r="L81" s="920">
        <f>K81</f>
        <v>2343600</v>
      </c>
    </row>
    <row r="82" spans="1:12" ht="14.25">
      <c r="A82" s="933"/>
      <c r="B82" s="935"/>
      <c r="C82" s="947"/>
      <c r="D82" s="143" t="s">
        <v>756</v>
      </c>
      <c r="E82" s="146">
        <v>43921</v>
      </c>
      <c r="F82" s="143">
        <v>778562</v>
      </c>
      <c r="G82" s="143" t="s">
        <v>1167</v>
      </c>
      <c r="H82" s="145" t="s">
        <v>1271</v>
      </c>
      <c r="I82" s="145">
        <v>71</v>
      </c>
      <c r="J82" s="143" t="s">
        <v>1167</v>
      </c>
      <c r="K82" s="921"/>
      <c r="L82" s="921"/>
    </row>
    <row r="83" spans="1:12" ht="14.25">
      <c r="A83" s="933"/>
      <c r="B83" s="936"/>
      <c r="C83" s="948"/>
      <c r="D83" s="143" t="s">
        <v>756</v>
      </c>
      <c r="E83" s="146">
        <v>43921</v>
      </c>
      <c r="F83" s="143">
        <v>463468</v>
      </c>
      <c r="G83" s="143" t="s">
        <v>1167</v>
      </c>
      <c r="H83" s="145" t="s">
        <v>1272</v>
      </c>
      <c r="I83" s="145">
        <v>72</v>
      </c>
      <c r="J83" s="143" t="s">
        <v>1167</v>
      </c>
      <c r="K83" s="922"/>
      <c r="L83" s="922"/>
    </row>
    <row r="84" spans="1:12" s="422" customFormat="1" ht="14.25">
      <c r="A84" s="933"/>
      <c r="B84" s="940">
        <v>23386186</v>
      </c>
      <c r="C84" s="952" t="s">
        <v>1229</v>
      </c>
      <c r="D84" s="414" t="s">
        <v>456</v>
      </c>
      <c r="E84" s="415">
        <v>43934</v>
      </c>
      <c r="F84" s="414">
        <v>148778</v>
      </c>
      <c r="G84" s="414" t="s">
        <v>1207</v>
      </c>
      <c r="H84" s="425" t="s">
        <v>1232</v>
      </c>
      <c r="I84" s="416">
        <v>76</v>
      </c>
      <c r="J84" s="414" t="s">
        <v>1207</v>
      </c>
      <c r="K84" s="923"/>
      <c r="L84" s="917"/>
    </row>
    <row r="85" spans="1:12" s="422" customFormat="1" ht="14.25">
      <c r="A85" s="933"/>
      <c r="B85" s="941"/>
      <c r="C85" s="953"/>
      <c r="D85" s="414" t="s">
        <v>456</v>
      </c>
      <c r="E85" s="415">
        <v>43957</v>
      </c>
      <c r="F85" s="414">
        <v>58542</v>
      </c>
      <c r="G85" s="414" t="s">
        <v>1207</v>
      </c>
      <c r="H85" s="425" t="s">
        <v>1273</v>
      </c>
      <c r="I85" s="416">
        <v>81</v>
      </c>
      <c r="J85" s="414" t="s">
        <v>1207</v>
      </c>
      <c r="K85" s="924"/>
      <c r="L85" s="918"/>
    </row>
    <row r="86" spans="1:12" s="422" customFormat="1" ht="14.25">
      <c r="A86" s="933"/>
      <c r="B86" s="941"/>
      <c r="C86" s="953"/>
      <c r="D86" s="414" t="s">
        <v>456</v>
      </c>
      <c r="E86" s="415">
        <v>43957</v>
      </c>
      <c r="F86" s="414">
        <v>62897</v>
      </c>
      <c r="G86" s="414" t="s">
        <v>1207</v>
      </c>
      <c r="H86" s="425" t="s">
        <v>1274</v>
      </c>
      <c r="I86" s="416">
        <v>82</v>
      </c>
      <c r="J86" s="414" t="s">
        <v>1207</v>
      </c>
      <c r="K86" s="924"/>
      <c r="L86" s="918"/>
    </row>
    <row r="87" spans="1:12" s="422" customFormat="1" ht="14.25">
      <c r="A87" s="933"/>
      <c r="B87" s="941"/>
      <c r="C87" s="953"/>
      <c r="D87" s="414" t="s">
        <v>456</v>
      </c>
      <c r="E87" s="415">
        <v>43965</v>
      </c>
      <c r="F87" s="414">
        <v>68710</v>
      </c>
      <c r="G87" s="414" t="s">
        <v>1207</v>
      </c>
      <c r="H87" s="425" t="s">
        <v>1275</v>
      </c>
      <c r="I87" s="416">
        <v>84</v>
      </c>
      <c r="J87" s="414" t="s">
        <v>1207</v>
      </c>
      <c r="K87" s="924"/>
      <c r="L87" s="918"/>
    </row>
    <row r="88" spans="1:12" s="422" customFormat="1" ht="14.25">
      <c r="A88" s="933"/>
      <c r="B88" s="942"/>
      <c r="C88" s="954"/>
      <c r="D88" s="414" t="s">
        <v>456</v>
      </c>
      <c r="E88" s="415">
        <v>43978</v>
      </c>
      <c r="F88" s="414">
        <v>87123</v>
      </c>
      <c r="G88" s="414" t="s">
        <v>1207</v>
      </c>
      <c r="H88" s="425" t="s">
        <v>1276</v>
      </c>
      <c r="I88" s="416">
        <v>88</v>
      </c>
      <c r="J88" s="414" t="s">
        <v>1207</v>
      </c>
      <c r="K88" s="925"/>
      <c r="L88" s="919"/>
    </row>
    <row r="89" spans="1:12" ht="14.25">
      <c r="A89" s="933"/>
      <c r="B89" s="934">
        <v>56080441</v>
      </c>
      <c r="C89" s="946" t="s">
        <v>1253</v>
      </c>
      <c r="D89" s="143" t="s">
        <v>670</v>
      </c>
      <c r="E89" s="146">
        <v>43902</v>
      </c>
      <c r="F89" s="143">
        <f>230832-37135</f>
        <v>193697</v>
      </c>
      <c r="G89" s="143" t="s">
        <v>1207</v>
      </c>
      <c r="H89" s="145" t="s">
        <v>1277</v>
      </c>
      <c r="I89" s="145">
        <v>62</v>
      </c>
      <c r="J89" s="143" t="s">
        <v>1207</v>
      </c>
      <c r="K89" s="920">
        <f>840000*7.0795</f>
        <v>5946780</v>
      </c>
      <c r="L89" s="920">
        <f>K89</f>
        <v>5946780</v>
      </c>
    </row>
    <row r="90" spans="1:12" ht="14.25">
      <c r="A90" s="933"/>
      <c r="B90" s="935"/>
      <c r="C90" s="947"/>
      <c r="D90" s="143" t="s">
        <v>670</v>
      </c>
      <c r="E90" s="146">
        <v>43916</v>
      </c>
      <c r="F90" s="143">
        <v>185780</v>
      </c>
      <c r="G90" s="143" t="s">
        <v>1207</v>
      </c>
      <c r="H90" s="145" t="s">
        <v>1278</v>
      </c>
      <c r="I90" s="145">
        <v>68</v>
      </c>
      <c r="J90" s="143" t="s">
        <v>1207</v>
      </c>
      <c r="K90" s="921"/>
      <c r="L90" s="921"/>
    </row>
    <row r="91" spans="1:12" ht="14.25">
      <c r="A91" s="933"/>
      <c r="B91" s="935"/>
      <c r="C91" s="947"/>
      <c r="D91" s="143" t="s">
        <v>670</v>
      </c>
      <c r="E91" s="146">
        <v>43917</v>
      </c>
      <c r="F91" s="143">
        <v>135476</v>
      </c>
      <c r="G91" s="143" t="s">
        <v>1207</v>
      </c>
      <c r="H91" s="145" t="s">
        <v>1279</v>
      </c>
      <c r="I91" s="145">
        <v>70</v>
      </c>
      <c r="J91" s="143" t="s">
        <v>1207</v>
      </c>
      <c r="K91" s="921"/>
      <c r="L91" s="921"/>
    </row>
    <row r="92" spans="1:12" ht="14.25">
      <c r="A92" s="933"/>
      <c r="B92" s="935"/>
      <c r="C92" s="947"/>
      <c r="D92" s="143" t="s">
        <v>670</v>
      </c>
      <c r="E92" s="146">
        <v>43923</v>
      </c>
      <c r="F92" s="143">
        <v>75965</v>
      </c>
      <c r="G92" s="143" t="s">
        <v>1207</v>
      </c>
      <c r="H92" s="145" t="s">
        <v>1280</v>
      </c>
      <c r="I92" s="145">
        <v>73</v>
      </c>
      <c r="J92" s="143" t="s">
        <v>1207</v>
      </c>
      <c r="K92" s="921"/>
      <c r="L92" s="921"/>
    </row>
    <row r="93" spans="1:12" ht="14.25">
      <c r="A93" s="933"/>
      <c r="B93" s="935"/>
      <c r="C93" s="947"/>
      <c r="D93" s="143" t="s">
        <v>670</v>
      </c>
      <c r="E93" s="146">
        <v>43923</v>
      </c>
      <c r="F93" s="143">
        <v>111683</v>
      </c>
      <c r="G93" s="143" t="s">
        <v>1207</v>
      </c>
      <c r="H93" s="145" t="s">
        <v>1281</v>
      </c>
      <c r="I93" s="145">
        <v>74</v>
      </c>
      <c r="J93" s="143" t="s">
        <v>1207</v>
      </c>
      <c r="K93" s="921"/>
      <c r="L93" s="921"/>
    </row>
    <row r="94" spans="1:12" ht="14.25">
      <c r="A94" s="933"/>
      <c r="B94" s="936"/>
      <c r="C94" s="948"/>
      <c r="D94" s="143" t="s">
        <v>670</v>
      </c>
      <c r="E94" s="146">
        <v>43958</v>
      </c>
      <c r="F94" s="143">
        <v>137399</v>
      </c>
      <c r="G94" s="143" t="s">
        <v>1207</v>
      </c>
      <c r="H94" s="145" t="s">
        <v>1282</v>
      </c>
      <c r="I94" s="145">
        <v>83</v>
      </c>
      <c r="J94" s="143" t="s">
        <v>1207</v>
      </c>
      <c r="K94" s="922"/>
      <c r="L94" s="922"/>
    </row>
    <row r="95" spans="1:12" ht="14.25">
      <c r="A95" s="933"/>
      <c r="B95" s="934" t="s">
        <v>1283</v>
      </c>
      <c r="C95" s="946" t="s">
        <v>1253</v>
      </c>
      <c r="D95" s="143" t="s">
        <v>670</v>
      </c>
      <c r="E95" s="146">
        <v>43958</v>
      </c>
      <c r="F95" s="143">
        <f>305742-137399</f>
        <v>168343</v>
      </c>
      <c r="G95" s="143" t="s">
        <v>1207</v>
      </c>
      <c r="H95" s="145" t="s">
        <v>1282</v>
      </c>
      <c r="I95" s="145">
        <v>83</v>
      </c>
      <c r="J95" s="143" t="s">
        <v>1207</v>
      </c>
      <c r="K95" s="920">
        <f>302400*7.0795</f>
        <v>2140840.8000000003</v>
      </c>
      <c r="L95" s="920">
        <f>K95</f>
        <v>2140840.8000000003</v>
      </c>
    </row>
    <row r="96" spans="1:12" ht="14.25">
      <c r="A96" s="933"/>
      <c r="B96" s="936"/>
      <c r="C96" s="948"/>
      <c r="D96" s="143" t="s">
        <v>670</v>
      </c>
      <c r="E96" s="146">
        <v>43973</v>
      </c>
      <c r="F96" s="143">
        <v>134057</v>
      </c>
      <c r="G96" s="143" t="s">
        <v>1207</v>
      </c>
      <c r="H96" s="145" t="s">
        <v>1284</v>
      </c>
      <c r="I96" s="145">
        <v>87</v>
      </c>
      <c r="J96" s="143" t="s">
        <v>1207</v>
      </c>
      <c r="K96" s="922"/>
      <c r="L96" s="922"/>
    </row>
    <row r="97" spans="1:12" ht="42.75">
      <c r="A97" s="933"/>
      <c r="B97" s="147">
        <v>19468</v>
      </c>
      <c r="C97" s="144" t="s">
        <v>1193</v>
      </c>
      <c r="D97" s="143" t="s">
        <v>756</v>
      </c>
      <c r="E97" s="146">
        <v>43921</v>
      </c>
      <c r="F97" s="143">
        <v>2343600</v>
      </c>
      <c r="G97" s="143" t="s">
        <v>1167</v>
      </c>
      <c r="H97" s="145" t="s">
        <v>1272</v>
      </c>
      <c r="I97" s="145">
        <v>72</v>
      </c>
      <c r="J97" s="143" t="s">
        <v>1167</v>
      </c>
      <c r="K97" s="148">
        <v>2343600</v>
      </c>
      <c r="L97" s="148">
        <f>K97</f>
        <v>2343600</v>
      </c>
    </row>
    <row r="98" spans="1:12" ht="14.25">
      <c r="A98" s="933"/>
      <c r="B98" s="934">
        <v>2354251</v>
      </c>
      <c r="C98" s="946" t="s">
        <v>1260</v>
      </c>
      <c r="D98" s="143" t="s">
        <v>540</v>
      </c>
      <c r="E98" s="146">
        <v>43885</v>
      </c>
      <c r="F98" s="143">
        <v>204202</v>
      </c>
      <c r="G98" s="143" t="s">
        <v>1207</v>
      </c>
      <c r="H98" s="145" t="s">
        <v>1285</v>
      </c>
      <c r="I98" s="145">
        <v>52</v>
      </c>
      <c r="J98" s="143" t="s">
        <v>1207</v>
      </c>
      <c r="K98" s="920">
        <f>285652*7.0795</f>
        <v>2022273.334</v>
      </c>
      <c r="L98" s="920">
        <f>K98</f>
        <v>2022273.334</v>
      </c>
    </row>
    <row r="99" spans="1:12" ht="14.25">
      <c r="A99" s="933"/>
      <c r="B99" s="936"/>
      <c r="C99" s="948"/>
      <c r="D99" s="143" t="s">
        <v>540</v>
      </c>
      <c r="E99" s="146">
        <v>43910</v>
      </c>
      <c r="F99" s="143">
        <f>K98-F98</f>
        <v>1818071.334</v>
      </c>
      <c r="G99" s="143" t="s">
        <v>1207</v>
      </c>
      <c r="H99" s="145" t="s">
        <v>1286</v>
      </c>
      <c r="I99" s="145">
        <v>65</v>
      </c>
      <c r="J99" s="143" t="s">
        <v>1207</v>
      </c>
      <c r="K99" s="922"/>
      <c r="L99" s="922"/>
    </row>
    <row r="100" spans="1:12" ht="14.25">
      <c r="A100" s="933"/>
      <c r="B100" s="934">
        <v>3500086120</v>
      </c>
      <c r="C100" s="946" t="s">
        <v>1193</v>
      </c>
      <c r="D100" s="143" t="s">
        <v>1194</v>
      </c>
      <c r="E100" s="146">
        <v>43915</v>
      </c>
      <c r="F100" s="143">
        <v>710753</v>
      </c>
      <c r="G100" s="143" t="s">
        <v>1167</v>
      </c>
      <c r="H100" s="145" t="s">
        <v>1259</v>
      </c>
      <c r="I100" s="145">
        <v>67</v>
      </c>
      <c r="J100" s="143" t="s">
        <v>1167</v>
      </c>
      <c r="K100" s="920">
        <v>1857051</v>
      </c>
      <c r="L100" s="920">
        <f>K100</f>
        <v>1857051</v>
      </c>
    </row>
    <row r="101" spans="1:12" ht="14.25">
      <c r="A101" s="933"/>
      <c r="B101" s="936"/>
      <c r="C101" s="948"/>
      <c r="D101" s="143" t="s">
        <v>1194</v>
      </c>
      <c r="E101" s="146">
        <v>43947</v>
      </c>
      <c r="F101" s="143">
        <v>1146298</v>
      </c>
      <c r="G101" s="143" t="s">
        <v>1167</v>
      </c>
      <c r="H101" s="145" t="s">
        <v>1287</v>
      </c>
      <c r="I101" s="145">
        <v>78</v>
      </c>
      <c r="J101" s="143" t="s">
        <v>1167</v>
      </c>
      <c r="K101" s="922"/>
      <c r="L101" s="922"/>
    </row>
    <row r="102" spans="1:12" ht="14.25">
      <c r="A102" s="933"/>
      <c r="B102" s="934" t="s">
        <v>1288</v>
      </c>
      <c r="C102" s="946" t="s">
        <v>1253</v>
      </c>
      <c r="D102" s="143" t="s">
        <v>670</v>
      </c>
      <c r="E102" s="146">
        <v>43973</v>
      </c>
      <c r="F102" s="143">
        <f>177561-134057</f>
        <v>43504</v>
      </c>
      <c r="G102" s="143" t="s">
        <v>1207</v>
      </c>
      <c r="H102" s="145" t="s">
        <v>1284</v>
      </c>
      <c r="I102" s="145">
        <v>87</v>
      </c>
      <c r="J102" s="143" t="s">
        <v>1207</v>
      </c>
      <c r="K102" s="920">
        <f>318000*7.0795</f>
        <v>2251281</v>
      </c>
      <c r="L102" s="920">
        <f>K102</f>
        <v>2251281</v>
      </c>
    </row>
    <row r="103" spans="1:12" ht="14.25">
      <c r="A103" s="933"/>
      <c r="B103" s="935"/>
      <c r="C103" s="947"/>
      <c r="D103" s="143" t="s">
        <v>670</v>
      </c>
      <c r="E103" s="146">
        <v>43979</v>
      </c>
      <c r="F103" s="143">
        <v>89817</v>
      </c>
      <c r="G103" s="143" t="s">
        <v>1207</v>
      </c>
      <c r="H103" s="145" t="s">
        <v>1289</v>
      </c>
      <c r="I103" s="145">
        <v>89</v>
      </c>
      <c r="J103" s="143" t="s">
        <v>1207</v>
      </c>
      <c r="K103" s="921"/>
      <c r="L103" s="921"/>
    </row>
    <row r="104" spans="1:12" ht="14.25">
      <c r="A104" s="933"/>
      <c r="B104" s="935"/>
      <c r="C104" s="947"/>
      <c r="D104" s="143" t="s">
        <v>670</v>
      </c>
      <c r="E104" s="146">
        <v>43979</v>
      </c>
      <c r="F104" s="143">
        <v>91362</v>
      </c>
      <c r="G104" s="143" t="s">
        <v>1207</v>
      </c>
      <c r="H104" s="145" t="s">
        <v>1290</v>
      </c>
      <c r="I104" s="145">
        <v>90</v>
      </c>
      <c r="J104" s="143" t="s">
        <v>1207</v>
      </c>
      <c r="K104" s="921"/>
      <c r="L104" s="921"/>
    </row>
    <row r="105" spans="1:12" ht="14.25">
      <c r="A105" s="933"/>
      <c r="B105" s="936"/>
      <c r="C105" s="948"/>
      <c r="D105" s="143" t="s">
        <v>670</v>
      </c>
      <c r="E105" s="146">
        <v>43993</v>
      </c>
      <c r="F105" s="143">
        <v>93317</v>
      </c>
      <c r="G105" s="143" t="s">
        <v>1207</v>
      </c>
      <c r="H105" s="145" t="s">
        <v>1291</v>
      </c>
      <c r="I105" s="145">
        <v>94</v>
      </c>
      <c r="J105" s="143" t="s">
        <v>1207</v>
      </c>
      <c r="K105" s="922"/>
      <c r="L105" s="922"/>
    </row>
    <row r="106" spans="1:12" ht="14.25">
      <c r="A106" s="933"/>
      <c r="B106" s="934" t="s">
        <v>1292</v>
      </c>
      <c r="C106" s="958" t="s">
        <v>1293</v>
      </c>
      <c r="D106" s="143" t="s">
        <v>383</v>
      </c>
      <c r="E106" s="146">
        <v>43914</v>
      </c>
      <c r="F106" s="143">
        <v>171796</v>
      </c>
      <c r="G106" s="143" t="s">
        <v>1207</v>
      </c>
      <c r="H106" s="145">
        <v>2003241590248250</v>
      </c>
      <c r="I106" s="145">
        <v>66</v>
      </c>
      <c r="J106" s="143" t="s">
        <v>1207</v>
      </c>
      <c r="K106" s="920">
        <f>354500*7.0795</f>
        <v>2509682.75</v>
      </c>
      <c r="L106" s="920">
        <f>K106</f>
        <v>2509682.75</v>
      </c>
    </row>
    <row r="107" spans="1:12" ht="14.25">
      <c r="A107" s="933"/>
      <c r="B107" s="935"/>
      <c r="C107" s="959"/>
      <c r="D107" s="143" t="s">
        <v>383</v>
      </c>
      <c r="E107" s="146">
        <v>43948</v>
      </c>
      <c r="F107" s="143">
        <v>64797</v>
      </c>
      <c r="G107" s="143" t="s">
        <v>1207</v>
      </c>
      <c r="H107" s="145">
        <v>2004270998010680</v>
      </c>
      <c r="I107" s="145">
        <v>80</v>
      </c>
      <c r="J107" s="143" t="s">
        <v>1207</v>
      </c>
      <c r="K107" s="921"/>
      <c r="L107" s="921"/>
    </row>
    <row r="108" spans="1:12" ht="14.25">
      <c r="A108" s="933"/>
      <c r="B108" s="936"/>
      <c r="C108" s="960"/>
      <c r="D108" s="143" t="s">
        <v>383</v>
      </c>
      <c r="E108" s="146">
        <v>43983</v>
      </c>
      <c r="F108" s="143">
        <f>K106-F106-F107</f>
        <v>2273089.75</v>
      </c>
      <c r="G108" s="143" t="s">
        <v>1207</v>
      </c>
      <c r="H108" s="145">
        <v>2006011431623940</v>
      </c>
      <c r="I108" s="145">
        <v>92</v>
      </c>
      <c r="J108" s="143" t="s">
        <v>1207</v>
      </c>
      <c r="K108" s="922"/>
      <c r="L108" s="922"/>
    </row>
    <row r="109" spans="1:12" ht="42.75">
      <c r="A109" s="933"/>
      <c r="B109" s="147">
        <v>19470</v>
      </c>
      <c r="C109" s="144" t="s">
        <v>1193</v>
      </c>
      <c r="D109" s="143" t="s">
        <v>756</v>
      </c>
      <c r="E109" s="146">
        <v>43948</v>
      </c>
      <c r="F109" s="143">
        <v>1540000</v>
      </c>
      <c r="G109" s="143" t="s">
        <v>1167</v>
      </c>
      <c r="H109" s="145" t="s">
        <v>1294</v>
      </c>
      <c r="I109" s="145">
        <v>79</v>
      </c>
      <c r="J109" s="143" t="s">
        <v>1167</v>
      </c>
      <c r="K109" s="148">
        <v>1540000</v>
      </c>
      <c r="L109" s="148">
        <f>K109</f>
        <v>1540000</v>
      </c>
    </row>
    <row r="110" spans="1:12" ht="14.25">
      <c r="A110" s="933"/>
      <c r="B110" s="940">
        <v>23386187</v>
      </c>
      <c r="C110" s="952" t="s">
        <v>1229</v>
      </c>
      <c r="D110" s="414" t="s">
        <v>456</v>
      </c>
      <c r="E110" s="415">
        <v>43978</v>
      </c>
      <c r="F110" s="414">
        <f>102933-87123</f>
        <v>15810</v>
      </c>
      <c r="G110" s="414" t="s">
        <v>1207</v>
      </c>
      <c r="H110" s="425" t="s">
        <v>1276</v>
      </c>
      <c r="I110" s="416">
        <v>88</v>
      </c>
      <c r="J110" s="414" t="s">
        <v>1207</v>
      </c>
      <c r="K110" s="923">
        <f>426050*7.0795</f>
        <v>3016220.9750000001</v>
      </c>
      <c r="L110" s="923"/>
    </row>
    <row r="111" spans="1:12" ht="14.25">
      <c r="A111" s="933"/>
      <c r="B111" s="941"/>
      <c r="C111" s="953"/>
      <c r="D111" s="414" t="s">
        <v>456</v>
      </c>
      <c r="E111" s="415">
        <v>43980</v>
      </c>
      <c r="F111" s="414">
        <v>93482</v>
      </c>
      <c r="G111" s="414" t="s">
        <v>1207</v>
      </c>
      <c r="H111" s="425" t="s">
        <v>1295</v>
      </c>
      <c r="I111" s="416">
        <v>91</v>
      </c>
      <c r="J111" s="414" t="s">
        <v>1207</v>
      </c>
      <c r="K111" s="924"/>
      <c r="L111" s="924"/>
    </row>
    <row r="112" spans="1:12" ht="14.25">
      <c r="A112" s="933"/>
      <c r="B112" s="941"/>
      <c r="C112" s="953"/>
      <c r="D112" s="414" t="s">
        <v>456</v>
      </c>
      <c r="E112" s="415">
        <v>43998</v>
      </c>
      <c r="F112" s="414">
        <v>120008</v>
      </c>
      <c r="G112" s="414" t="s">
        <v>1207</v>
      </c>
      <c r="H112" s="425" t="s">
        <v>1296</v>
      </c>
      <c r="I112" s="416">
        <v>95</v>
      </c>
      <c r="J112" s="414" t="s">
        <v>1207</v>
      </c>
      <c r="K112" s="924"/>
      <c r="L112" s="924"/>
    </row>
    <row r="113" spans="1:13" ht="14.25">
      <c r="A113" s="933"/>
      <c r="B113" s="942"/>
      <c r="C113" s="954"/>
      <c r="D113" s="414" t="s">
        <v>456</v>
      </c>
      <c r="E113" s="415">
        <v>44010</v>
      </c>
      <c r="F113" s="414">
        <v>41711</v>
      </c>
      <c r="G113" s="414" t="s">
        <v>1207</v>
      </c>
      <c r="H113" s="425" t="s">
        <v>1297</v>
      </c>
      <c r="I113" s="416">
        <v>101</v>
      </c>
      <c r="J113" s="414" t="s">
        <v>1207</v>
      </c>
      <c r="K113" s="925"/>
      <c r="L113" s="925"/>
    </row>
    <row r="114" spans="1:13" ht="28.5">
      <c r="A114" s="933"/>
      <c r="B114" s="413">
        <v>55135251</v>
      </c>
      <c r="C114" s="426" t="s">
        <v>1250</v>
      </c>
      <c r="D114" s="414" t="s">
        <v>459</v>
      </c>
      <c r="E114" s="415"/>
      <c r="F114" s="414"/>
      <c r="G114" s="414" t="s">
        <v>1167</v>
      </c>
      <c r="H114" s="416"/>
      <c r="I114" s="416"/>
      <c r="J114" s="414" t="s">
        <v>1167</v>
      </c>
      <c r="K114" s="417">
        <v>2057700</v>
      </c>
      <c r="L114" s="417"/>
    </row>
    <row r="115" spans="1:13" ht="14.25">
      <c r="A115" s="933"/>
      <c r="B115" s="934">
        <v>56080445</v>
      </c>
      <c r="C115" s="946" t="s">
        <v>1253</v>
      </c>
      <c r="D115" s="143" t="s">
        <v>670</v>
      </c>
      <c r="E115" s="146">
        <v>43993</v>
      </c>
      <c r="F115" s="143">
        <v>65927</v>
      </c>
      <c r="G115" s="143" t="s">
        <v>1207</v>
      </c>
      <c r="H115" s="145" t="s">
        <v>1291</v>
      </c>
      <c r="I115" s="145">
        <v>94</v>
      </c>
      <c r="J115" s="143" t="s">
        <v>1207</v>
      </c>
      <c r="K115" s="917">
        <f>483000*7.0795</f>
        <v>3419398.5</v>
      </c>
      <c r="L115" s="917">
        <f>M115*7</f>
        <v>2252222</v>
      </c>
      <c r="M115">
        <f>F115+F116+F117</f>
        <v>321746</v>
      </c>
    </row>
    <row r="116" spans="1:13" ht="14.25">
      <c r="A116" s="933"/>
      <c r="B116" s="935"/>
      <c r="C116" s="947"/>
      <c r="D116" s="143" t="s">
        <v>670</v>
      </c>
      <c r="E116" s="146">
        <v>44000</v>
      </c>
      <c r="F116" s="143">
        <v>119790</v>
      </c>
      <c r="G116" s="143" t="s">
        <v>1207</v>
      </c>
      <c r="H116" s="145" t="s">
        <v>1298</v>
      </c>
      <c r="I116" s="145">
        <v>97</v>
      </c>
      <c r="J116" s="143" t="s">
        <v>1207</v>
      </c>
      <c r="K116" s="918"/>
      <c r="L116" s="918"/>
    </row>
    <row r="117" spans="1:13" ht="14.25">
      <c r="A117" s="933"/>
      <c r="B117" s="936"/>
      <c r="C117" s="948"/>
      <c r="D117" s="143" t="s">
        <v>670</v>
      </c>
      <c r="E117" s="146">
        <v>44006</v>
      </c>
      <c r="F117" s="143">
        <v>136029</v>
      </c>
      <c r="G117" s="143" t="s">
        <v>1207</v>
      </c>
      <c r="H117" s="145" t="s">
        <v>1299</v>
      </c>
      <c r="I117" s="145">
        <v>100</v>
      </c>
      <c r="J117" s="143" t="s">
        <v>1207</v>
      </c>
      <c r="K117" s="919"/>
      <c r="L117" s="919"/>
    </row>
    <row r="118" spans="1:13" ht="14.25">
      <c r="A118" s="933"/>
      <c r="B118" s="934">
        <v>19472</v>
      </c>
      <c r="C118" s="946" t="s">
        <v>1193</v>
      </c>
      <c r="D118" s="143" t="s">
        <v>756</v>
      </c>
      <c r="E118" s="146">
        <v>43966</v>
      </c>
      <c r="F118" s="143">
        <v>747086</v>
      </c>
      <c r="G118" s="143" t="s">
        <v>1167</v>
      </c>
      <c r="H118" s="145" t="s">
        <v>1300</v>
      </c>
      <c r="I118" s="145">
        <v>85</v>
      </c>
      <c r="J118" s="143" t="s">
        <v>1167</v>
      </c>
      <c r="K118" s="920">
        <v>2176200</v>
      </c>
      <c r="L118" s="920">
        <v>1710000</v>
      </c>
    </row>
    <row r="119" spans="1:13" ht="14.25">
      <c r="A119" s="933"/>
      <c r="B119" s="935"/>
      <c r="C119" s="947"/>
      <c r="D119" s="143" t="s">
        <v>756</v>
      </c>
      <c r="E119" s="146">
        <v>43970</v>
      </c>
      <c r="F119" s="143">
        <v>347731</v>
      </c>
      <c r="G119" s="143" t="s">
        <v>1167</v>
      </c>
      <c r="H119" s="145" t="s">
        <v>1301</v>
      </c>
      <c r="I119" s="145">
        <v>86</v>
      </c>
      <c r="J119" s="143" t="s">
        <v>1167</v>
      </c>
      <c r="K119" s="921"/>
      <c r="L119" s="921"/>
    </row>
    <row r="120" spans="1:13" ht="14.25">
      <c r="A120" s="933"/>
      <c r="B120" s="935"/>
      <c r="C120" s="947"/>
      <c r="D120" s="143" t="s">
        <v>756</v>
      </c>
      <c r="E120" s="146">
        <v>43998</v>
      </c>
      <c r="F120" s="143">
        <v>222376</v>
      </c>
      <c r="G120" s="143" t="s">
        <v>1167</v>
      </c>
      <c r="H120" s="145" t="s">
        <v>1302</v>
      </c>
      <c r="I120" s="145">
        <v>96</v>
      </c>
      <c r="J120" s="143" t="s">
        <v>1167</v>
      </c>
      <c r="K120" s="921"/>
      <c r="L120" s="921"/>
    </row>
    <row r="121" spans="1:13" ht="14.25">
      <c r="A121" s="933"/>
      <c r="B121" s="936"/>
      <c r="C121" s="948"/>
      <c r="D121" s="143" t="s">
        <v>756</v>
      </c>
      <c r="E121" s="146">
        <v>44005</v>
      </c>
      <c r="F121" s="143">
        <v>400914</v>
      </c>
      <c r="G121" s="143" t="s">
        <v>1167</v>
      </c>
      <c r="H121" s="145" t="s">
        <v>1303</v>
      </c>
      <c r="I121" s="145">
        <v>99</v>
      </c>
      <c r="J121" s="143" t="s">
        <v>1167</v>
      </c>
      <c r="K121" s="922"/>
      <c r="L121" s="922"/>
    </row>
    <row r="122" spans="1:13" ht="28.5">
      <c r="A122" s="933"/>
      <c r="B122" s="413">
        <v>56080447</v>
      </c>
      <c r="C122" s="426" t="s">
        <v>1253</v>
      </c>
      <c r="D122" s="414" t="s">
        <v>670</v>
      </c>
      <c r="E122" s="415"/>
      <c r="F122" s="414"/>
      <c r="G122" s="414" t="s">
        <v>1207</v>
      </c>
      <c r="H122" s="416"/>
      <c r="I122" s="416"/>
      <c r="J122" s="414" t="s">
        <v>1207</v>
      </c>
      <c r="K122" s="417">
        <f>840000*7.0795</f>
        <v>5946780</v>
      </c>
      <c r="L122" s="417"/>
    </row>
    <row r="123" spans="1:13" ht="42.75">
      <c r="A123" s="933"/>
      <c r="B123" s="147">
        <v>3500086123</v>
      </c>
      <c r="C123" s="144" t="s">
        <v>1193</v>
      </c>
      <c r="D123" s="143" t="s">
        <v>1194</v>
      </c>
      <c r="E123" s="146">
        <v>44001</v>
      </c>
      <c r="F123" s="143">
        <v>1768620</v>
      </c>
      <c r="G123" s="143" t="s">
        <v>1167</v>
      </c>
      <c r="H123" s="145" t="s">
        <v>1304</v>
      </c>
      <c r="I123" s="145">
        <v>98</v>
      </c>
      <c r="J123" s="143" t="s">
        <v>1167</v>
      </c>
      <c r="K123" s="148">
        <v>1768620</v>
      </c>
      <c r="L123" s="148">
        <f>K123</f>
        <v>1768620</v>
      </c>
    </row>
    <row r="124" spans="1:13" ht="35.1" customHeight="1">
      <c r="A124" s="933"/>
      <c r="B124" s="931" t="s">
        <v>182</v>
      </c>
      <c r="C124" s="931"/>
      <c r="D124" s="931"/>
      <c r="E124" s="931"/>
      <c r="F124" s="931"/>
      <c r="G124" s="931"/>
      <c r="H124" s="931"/>
      <c r="I124" s="931"/>
      <c r="J124" s="932"/>
      <c r="K124" s="150">
        <f>SUM(K2:K123)</f>
        <v>116732133.42199999</v>
      </c>
      <c r="L124" s="150">
        <f>SUM(L2:L123)</f>
        <v>96370256.387999997</v>
      </c>
    </row>
    <row r="125" spans="1:13">
      <c r="L125" s="142">
        <f>K124-L124</f>
        <v>20361877.033999994</v>
      </c>
    </row>
    <row r="126" spans="1:13">
      <c r="L126" s="142"/>
    </row>
  </sheetData>
  <autoFilter ref="A1:L124"/>
  <mergeCells count="131">
    <mergeCell ref="K89:K94"/>
    <mergeCell ref="K95:K96"/>
    <mergeCell ref="K115:K117"/>
    <mergeCell ref="K118:K121"/>
    <mergeCell ref="K98:K99"/>
    <mergeCell ref="K100:K101"/>
    <mergeCell ref="K102:K105"/>
    <mergeCell ref="K106:K108"/>
    <mergeCell ref="K110:K113"/>
    <mergeCell ref="C118:C121"/>
    <mergeCell ref="K2:K5"/>
    <mergeCell ref="K6:K11"/>
    <mergeCell ref="K13:K14"/>
    <mergeCell ref="K16:K18"/>
    <mergeCell ref="K20:K21"/>
    <mergeCell ref="K22:K28"/>
    <mergeCell ref="K29:K30"/>
    <mergeCell ref="K31:K32"/>
    <mergeCell ref="K33:K34"/>
    <mergeCell ref="K35:K41"/>
    <mergeCell ref="K42:K44"/>
    <mergeCell ref="K46:K47"/>
    <mergeCell ref="K48:K50"/>
    <mergeCell ref="K51:K52"/>
    <mergeCell ref="K53:K56"/>
    <mergeCell ref="K58:K61"/>
    <mergeCell ref="K62:K63"/>
    <mergeCell ref="K64:K67"/>
    <mergeCell ref="K68:K70"/>
    <mergeCell ref="K72:K77"/>
    <mergeCell ref="K78:K80"/>
    <mergeCell ref="K81:K83"/>
    <mergeCell ref="K84:K88"/>
    <mergeCell ref="C84:C88"/>
    <mergeCell ref="C89:C94"/>
    <mergeCell ref="C95:C96"/>
    <mergeCell ref="C98:C99"/>
    <mergeCell ref="C100:C101"/>
    <mergeCell ref="C102:C105"/>
    <mergeCell ref="C106:C108"/>
    <mergeCell ref="C110:C113"/>
    <mergeCell ref="C115:C117"/>
    <mergeCell ref="B118:B121"/>
    <mergeCell ref="C2:C5"/>
    <mergeCell ref="C6:C11"/>
    <mergeCell ref="C13:C14"/>
    <mergeCell ref="C16:C18"/>
    <mergeCell ref="C20:C21"/>
    <mergeCell ref="C22:C28"/>
    <mergeCell ref="C29:C30"/>
    <mergeCell ref="C31:C32"/>
    <mergeCell ref="C33:C34"/>
    <mergeCell ref="C35:C38"/>
    <mergeCell ref="C39:C41"/>
    <mergeCell ref="C42:C44"/>
    <mergeCell ref="C46:C47"/>
    <mergeCell ref="C48:C50"/>
    <mergeCell ref="C51:C52"/>
    <mergeCell ref="C53:C56"/>
    <mergeCell ref="C58:C61"/>
    <mergeCell ref="C62:C63"/>
    <mergeCell ref="C64:C67"/>
    <mergeCell ref="C68:C70"/>
    <mergeCell ref="C72:C77"/>
    <mergeCell ref="C78:C80"/>
    <mergeCell ref="C81:C83"/>
    <mergeCell ref="B84:B88"/>
    <mergeCell ref="B89:B94"/>
    <mergeCell ref="B95:B96"/>
    <mergeCell ref="B98:B99"/>
    <mergeCell ref="B100:B101"/>
    <mergeCell ref="B102:B105"/>
    <mergeCell ref="B106:B108"/>
    <mergeCell ref="B110:B113"/>
    <mergeCell ref="B115:B117"/>
    <mergeCell ref="B124:J124"/>
    <mergeCell ref="A2:A124"/>
    <mergeCell ref="B2:B5"/>
    <mergeCell ref="B6:B11"/>
    <mergeCell ref="B13:B14"/>
    <mergeCell ref="B16:B18"/>
    <mergeCell ref="B20:B21"/>
    <mergeCell ref="B22:B28"/>
    <mergeCell ref="B29:B30"/>
    <mergeCell ref="B31:B32"/>
    <mergeCell ref="B33:B34"/>
    <mergeCell ref="B35:B41"/>
    <mergeCell ref="B42:B44"/>
    <mergeCell ref="B46:B47"/>
    <mergeCell ref="B48:B50"/>
    <mergeCell ref="B51:B52"/>
    <mergeCell ref="B53:B56"/>
    <mergeCell ref="B58:B61"/>
    <mergeCell ref="B62:B63"/>
    <mergeCell ref="B64:B67"/>
    <mergeCell ref="B68:B70"/>
    <mergeCell ref="B72:B77"/>
    <mergeCell ref="B78:B80"/>
    <mergeCell ref="B81:B83"/>
    <mergeCell ref="L22:L28"/>
    <mergeCell ref="L29:L30"/>
    <mergeCell ref="L31:L32"/>
    <mergeCell ref="L33:L34"/>
    <mergeCell ref="L35:L41"/>
    <mergeCell ref="L2:L5"/>
    <mergeCell ref="L6:L11"/>
    <mergeCell ref="L13:L14"/>
    <mergeCell ref="L16:L18"/>
    <mergeCell ref="L20:L21"/>
    <mergeCell ref="L58:L61"/>
    <mergeCell ref="L62:L63"/>
    <mergeCell ref="L64:L67"/>
    <mergeCell ref="L68:L70"/>
    <mergeCell ref="L72:L77"/>
    <mergeCell ref="L42:L44"/>
    <mergeCell ref="L46:L47"/>
    <mergeCell ref="L48:L50"/>
    <mergeCell ref="L51:L52"/>
    <mergeCell ref="L53:L56"/>
    <mergeCell ref="L115:L117"/>
    <mergeCell ref="L118:L121"/>
    <mergeCell ref="L98:L99"/>
    <mergeCell ref="L100:L101"/>
    <mergeCell ref="L102:L105"/>
    <mergeCell ref="L106:L108"/>
    <mergeCell ref="L110:L113"/>
    <mergeCell ref="L78:L80"/>
    <mergeCell ref="L81:L83"/>
    <mergeCell ref="L84:L88"/>
    <mergeCell ref="L89:L94"/>
    <mergeCell ref="L95:L96"/>
  </mergeCells>
  <phoneticPr fontId="92" type="noConversion"/>
  <pageMargins left="0.75" right="0.75" top="1" bottom="1" header="0.5" footer="0.5"/>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tabColor rgb="FF92D050"/>
  </sheetPr>
  <dimension ref="A1:L61"/>
  <sheetViews>
    <sheetView topLeftCell="B45" workbookViewId="0">
      <selection activeCell="G52" sqref="G52"/>
    </sheetView>
  </sheetViews>
  <sheetFormatPr defaultColWidth="8.875" defaultRowHeight="13.5"/>
  <cols>
    <col min="1" max="1" width="19.375" customWidth="1"/>
    <col min="2" max="2" width="18.875" customWidth="1"/>
    <col min="3" max="3" width="21.5" customWidth="1"/>
    <col min="6" max="6" width="19.125" customWidth="1"/>
    <col min="7" max="7" width="18.125" customWidth="1"/>
    <col min="8" max="8" width="17.5" customWidth="1"/>
    <col min="9" max="10" width="14.625" customWidth="1"/>
    <col min="12" max="12" width="15.75" bestFit="1" customWidth="1"/>
  </cols>
  <sheetData>
    <row r="1" spans="1:10" ht="42.75">
      <c r="A1" s="129" t="s">
        <v>2</v>
      </c>
      <c r="B1" s="129" t="s">
        <v>367</v>
      </c>
      <c r="C1" s="129" t="s">
        <v>332</v>
      </c>
      <c r="D1" s="129" t="s">
        <v>368</v>
      </c>
      <c r="E1" s="129" t="s">
        <v>686</v>
      </c>
      <c r="F1" s="402" t="s">
        <v>1305</v>
      </c>
      <c r="G1" s="402" t="s">
        <v>1306</v>
      </c>
      <c r="H1" s="403" t="s">
        <v>12</v>
      </c>
      <c r="I1" s="139" t="s">
        <v>3086</v>
      </c>
      <c r="J1" s="139"/>
    </row>
    <row r="2" spans="1:10" ht="14.25">
      <c r="A2" s="858" t="s">
        <v>132</v>
      </c>
      <c r="B2" s="967" t="s">
        <v>1307</v>
      </c>
      <c r="C2" s="905" t="s">
        <v>1308</v>
      </c>
      <c r="D2" s="905" t="s">
        <v>513</v>
      </c>
      <c r="E2" s="967">
        <v>46.737000000000002</v>
      </c>
      <c r="F2" s="133" t="s">
        <v>1309</v>
      </c>
      <c r="G2" s="404">
        <v>59637</v>
      </c>
      <c r="H2" s="974">
        <f>SUM(G2:G11)-G2-G6</f>
        <v>348096</v>
      </c>
      <c r="I2" s="139"/>
      <c r="J2" s="140"/>
    </row>
    <row r="3" spans="1:10" ht="14.25">
      <c r="A3" s="858"/>
      <c r="B3" s="967"/>
      <c r="C3" s="905"/>
      <c r="D3" s="905"/>
      <c r="E3" s="967"/>
      <c r="F3" s="129" t="s">
        <v>1310</v>
      </c>
      <c r="G3" s="129">
        <v>25557</v>
      </c>
      <c r="H3" s="975"/>
      <c r="I3" s="139"/>
      <c r="J3" s="140"/>
    </row>
    <row r="4" spans="1:10" ht="14.25">
      <c r="A4" s="858"/>
      <c r="B4" s="967"/>
      <c r="C4" s="905"/>
      <c r="D4" s="905"/>
      <c r="E4" s="967"/>
      <c r="F4" s="129" t="s">
        <v>1311</v>
      </c>
      <c r="G4" s="129">
        <v>59637</v>
      </c>
      <c r="H4" s="975"/>
      <c r="I4" s="139"/>
      <c r="J4" s="140"/>
    </row>
    <row r="5" spans="1:10" ht="14.25">
      <c r="A5" s="858"/>
      <c r="B5" s="967"/>
      <c r="C5" s="905"/>
      <c r="D5" s="905"/>
      <c r="E5" s="967"/>
      <c r="F5" s="129" t="s">
        <v>1312</v>
      </c>
      <c r="G5" s="129">
        <v>25557</v>
      </c>
      <c r="H5" s="975"/>
      <c r="I5" s="139"/>
      <c r="J5" s="140"/>
    </row>
    <row r="6" spans="1:10" ht="14.25">
      <c r="A6" s="858"/>
      <c r="B6" s="967"/>
      <c r="C6" s="905"/>
      <c r="D6" s="905"/>
      <c r="E6" s="967"/>
      <c r="F6" s="129" t="s">
        <v>1313</v>
      </c>
      <c r="G6" s="402">
        <v>59637</v>
      </c>
      <c r="H6" s="975"/>
      <c r="I6" s="139"/>
      <c r="J6" s="141"/>
    </row>
    <row r="7" spans="1:10" ht="14.25">
      <c r="A7" s="858"/>
      <c r="B7" s="967"/>
      <c r="C7" s="905"/>
      <c r="D7" s="905"/>
      <c r="E7" s="967"/>
      <c r="F7" s="129" t="s">
        <v>1314</v>
      </c>
      <c r="G7" s="129">
        <v>20445</v>
      </c>
      <c r="H7" s="975"/>
      <c r="I7" s="139"/>
      <c r="J7" s="140"/>
    </row>
    <row r="8" spans="1:10" ht="14.25">
      <c r="A8" s="858"/>
      <c r="B8" s="967"/>
      <c r="C8" s="905"/>
      <c r="D8" s="905"/>
      <c r="E8" s="967"/>
      <c r="F8" s="129" t="s">
        <v>1315</v>
      </c>
      <c r="G8" s="129">
        <v>47709</v>
      </c>
      <c r="H8" s="975"/>
      <c r="I8" s="139"/>
      <c r="J8" s="140"/>
    </row>
    <row r="9" spans="1:10" ht="14.25">
      <c r="A9" s="858"/>
      <c r="B9" s="967"/>
      <c r="C9" s="905"/>
      <c r="D9" s="905"/>
      <c r="E9" s="967"/>
      <c r="F9" s="129" t="s">
        <v>1316</v>
      </c>
      <c r="G9" s="129">
        <v>25557</v>
      </c>
      <c r="H9" s="975"/>
      <c r="I9" s="139"/>
      <c r="J9" s="140"/>
    </row>
    <row r="10" spans="1:10" ht="14.25">
      <c r="A10" s="858"/>
      <c r="B10" s="967"/>
      <c r="C10" s="905"/>
      <c r="D10" s="905"/>
      <c r="E10" s="967"/>
      <c r="F10" s="129" t="s">
        <v>1317</v>
      </c>
      <c r="G10" s="129">
        <v>84837</v>
      </c>
      <c r="H10" s="975"/>
      <c r="I10" s="139"/>
      <c r="J10" s="140"/>
    </row>
    <row r="11" spans="1:10" ht="14.25">
      <c r="A11" s="858"/>
      <c r="B11" s="967"/>
      <c r="C11" s="905"/>
      <c r="D11" s="905"/>
      <c r="E11" s="967"/>
      <c r="F11" s="129" t="s">
        <v>1318</v>
      </c>
      <c r="G11" s="129">
        <v>58797</v>
      </c>
      <c r="H11" s="976"/>
      <c r="I11" s="139"/>
      <c r="J11" s="141"/>
    </row>
    <row r="12" spans="1:10" ht="37.5">
      <c r="A12" s="134" t="s">
        <v>132</v>
      </c>
      <c r="B12" s="131" t="s">
        <v>1319</v>
      </c>
      <c r="C12" s="132" t="s">
        <v>1320</v>
      </c>
      <c r="D12" s="132" t="s">
        <v>1321</v>
      </c>
      <c r="E12" s="131">
        <v>1.9702</v>
      </c>
      <c r="F12" s="133" t="s">
        <v>1322</v>
      </c>
      <c r="G12" s="404">
        <v>19702</v>
      </c>
      <c r="H12" s="403"/>
      <c r="I12" s="139"/>
      <c r="J12" s="139"/>
    </row>
    <row r="13" spans="1:10" ht="14.25">
      <c r="A13" s="963" t="s">
        <v>132</v>
      </c>
      <c r="B13" s="967" t="s">
        <v>1323</v>
      </c>
      <c r="C13" s="905" t="s">
        <v>1324</v>
      </c>
      <c r="D13" s="908" t="s">
        <v>1325</v>
      </c>
      <c r="E13" s="967">
        <v>3.8803000000000001</v>
      </c>
      <c r="F13" s="133" t="s">
        <v>1326</v>
      </c>
      <c r="G13" s="133">
        <v>9964</v>
      </c>
      <c r="H13" s="974">
        <f>G13+G14</f>
        <v>38803</v>
      </c>
      <c r="I13" s="139"/>
      <c r="J13" s="139"/>
    </row>
    <row r="14" spans="1:10" ht="14.25">
      <c r="A14" s="963"/>
      <c r="B14" s="967"/>
      <c r="C14" s="905"/>
      <c r="D14" s="908"/>
      <c r="E14" s="967"/>
      <c r="F14" s="133" t="s">
        <v>1314</v>
      </c>
      <c r="G14" s="133">
        <v>28839</v>
      </c>
      <c r="H14" s="976"/>
      <c r="I14" s="139"/>
      <c r="J14" s="139"/>
    </row>
    <row r="15" spans="1:10" ht="14.25">
      <c r="A15" s="964" t="s">
        <v>132</v>
      </c>
      <c r="B15" s="968" t="s">
        <v>1327</v>
      </c>
      <c r="C15" s="906" t="s">
        <v>1328</v>
      </c>
      <c r="D15" s="906" t="s">
        <v>1329</v>
      </c>
      <c r="E15" s="968">
        <v>53.5764</v>
      </c>
      <c r="F15" s="129" t="s">
        <v>1330</v>
      </c>
      <c r="G15" s="129">
        <v>178588</v>
      </c>
      <c r="H15" s="974">
        <f>G15+G16+G17</f>
        <v>535764</v>
      </c>
      <c r="I15" s="139"/>
      <c r="J15" s="139"/>
    </row>
    <row r="16" spans="1:10" ht="14.25">
      <c r="A16" s="965"/>
      <c r="B16" s="969"/>
      <c r="C16" s="971"/>
      <c r="D16" s="971"/>
      <c r="E16" s="969"/>
      <c r="F16" s="129" t="s">
        <v>1331</v>
      </c>
      <c r="G16" s="129">
        <v>178588</v>
      </c>
      <c r="H16" s="975"/>
      <c r="I16" s="139"/>
      <c r="J16" s="139"/>
    </row>
    <row r="17" spans="1:12" ht="14.25">
      <c r="A17" s="966"/>
      <c r="B17" s="970"/>
      <c r="C17" s="907"/>
      <c r="D17" s="907"/>
      <c r="E17" s="970"/>
      <c r="F17" s="129" t="s">
        <v>1332</v>
      </c>
      <c r="G17" s="129">
        <v>178588</v>
      </c>
      <c r="H17" s="976"/>
      <c r="I17" s="139"/>
      <c r="J17" s="139"/>
    </row>
    <row r="18" spans="1:12" ht="14.25">
      <c r="A18" s="964" t="s">
        <v>132</v>
      </c>
      <c r="B18" s="968" t="s">
        <v>1333</v>
      </c>
      <c r="C18" s="906" t="s">
        <v>1334</v>
      </c>
      <c r="D18" s="906" t="s">
        <v>1335</v>
      </c>
      <c r="E18" s="968">
        <v>11.29</v>
      </c>
      <c r="F18" s="129" t="s">
        <v>1336</v>
      </c>
      <c r="G18" s="129">
        <v>33540</v>
      </c>
      <c r="H18" s="974">
        <f>G18+G19</f>
        <v>112900</v>
      </c>
      <c r="I18" s="139"/>
      <c r="J18" s="139"/>
    </row>
    <row r="19" spans="1:12" ht="14.25">
      <c r="A19" s="966"/>
      <c r="B19" s="970"/>
      <c r="C19" s="907"/>
      <c r="D19" s="907"/>
      <c r="E19" s="970"/>
      <c r="F19" s="129" t="s">
        <v>1337</v>
      </c>
      <c r="G19" s="129">
        <v>79360</v>
      </c>
      <c r="H19" s="976"/>
      <c r="I19" s="139"/>
      <c r="J19" s="139"/>
    </row>
    <row r="20" spans="1:12" ht="37.5">
      <c r="A20" s="134" t="s">
        <v>132</v>
      </c>
      <c r="B20" s="131" t="s">
        <v>1338</v>
      </c>
      <c r="C20" s="135" t="s">
        <v>1339</v>
      </c>
      <c r="D20" s="135" t="s">
        <v>1340</v>
      </c>
      <c r="E20" s="131">
        <v>1.9987999999999999</v>
      </c>
      <c r="F20" s="132" t="s">
        <v>1341</v>
      </c>
      <c r="G20" s="402">
        <v>19988</v>
      </c>
      <c r="H20" s="403"/>
      <c r="I20" s="139"/>
      <c r="J20" s="139"/>
    </row>
    <row r="21" spans="1:12" ht="14.25">
      <c r="A21" s="963" t="s">
        <v>132</v>
      </c>
      <c r="B21" s="967">
        <v>4500107927</v>
      </c>
      <c r="C21" s="972" t="s">
        <v>1342</v>
      </c>
      <c r="D21" s="972" t="s">
        <v>1343</v>
      </c>
      <c r="E21" s="967">
        <v>104.038</v>
      </c>
      <c r="F21" s="132" t="s">
        <v>1344</v>
      </c>
      <c r="G21" s="129">
        <v>397960</v>
      </c>
      <c r="H21" s="974">
        <f>G21+G23+G22</f>
        <v>1040380</v>
      </c>
      <c r="I21" s="139"/>
      <c r="J21" s="139"/>
    </row>
    <row r="22" spans="1:12" ht="14.25">
      <c r="A22" s="963"/>
      <c r="B22" s="967"/>
      <c r="C22" s="972"/>
      <c r="D22" s="972"/>
      <c r="E22" s="967"/>
      <c r="F22" s="132" t="s">
        <v>1345</v>
      </c>
      <c r="G22" s="136">
        <v>397960</v>
      </c>
      <c r="H22" s="975"/>
      <c r="I22" s="139"/>
      <c r="J22" s="139"/>
    </row>
    <row r="23" spans="1:12" ht="14.25">
      <c r="A23" s="963"/>
      <c r="B23" s="967"/>
      <c r="C23" s="972"/>
      <c r="D23" s="972"/>
      <c r="E23" s="967"/>
      <c r="F23" s="132" t="s">
        <v>1346</v>
      </c>
      <c r="G23" s="129">
        <v>244460</v>
      </c>
      <c r="H23" s="976"/>
      <c r="I23" s="139"/>
      <c r="J23" s="139"/>
    </row>
    <row r="24" spans="1:12" ht="37.5">
      <c r="A24" s="134" t="s">
        <v>132</v>
      </c>
      <c r="B24" s="131" t="s">
        <v>1347</v>
      </c>
      <c r="C24" s="135" t="s">
        <v>1348</v>
      </c>
      <c r="D24" s="135" t="s">
        <v>459</v>
      </c>
      <c r="E24" s="131">
        <v>2.5423</v>
      </c>
      <c r="F24" s="132" t="s">
        <v>1341</v>
      </c>
      <c r="G24" s="402">
        <v>25423</v>
      </c>
      <c r="H24" s="403"/>
      <c r="I24" s="139"/>
      <c r="J24" s="139"/>
    </row>
    <row r="25" spans="1:12" ht="14.25">
      <c r="A25" s="963" t="s">
        <v>132</v>
      </c>
      <c r="B25" s="967" t="s">
        <v>1349</v>
      </c>
      <c r="C25" s="972" t="s">
        <v>1350</v>
      </c>
      <c r="D25" s="972" t="s">
        <v>1351</v>
      </c>
      <c r="E25" s="967">
        <v>4.2316000000000003</v>
      </c>
      <c r="F25" s="132" t="s">
        <v>1352</v>
      </c>
      <c r="G25" s="129">
        <v>22958</v>
      </c>
      <c r="H25" s="974">
        <f>G25+G26</f>
        <v>42316</v>
      </c>
      <c r="I25" s="139"/>
      <c r="J25" s="139"/>
    </row>
    <row r="26" spans="1:12" ht="14.25">
      <c r="A26" s="963"/>
      <c r="B26" s="967"/>
      <c r="C26" s="972"/>
      <c r="D26" s="972"/>
      <c r="E26" s="967"/>
      <c r="F26" s="132" t="s">
        <v>1353</v>
      </c>
      <c r="G26" s="129">
        <v>19358</v>
      </c>
      <c r="H26" s="976"/>
      <c r="I26" s="139"/>
      <c r="J26" s="139"/>
    </row>
    <row r="27" spans="1:12" ht="14.25">
      <c r="A27" s="963" t="s">
        <v>132</v>
      </c>
      <c r="B27" s="967" t="s">
        <v>1354</v>
      </c>
      <c r="C27" s="972" t="s">
        <v>1355</v>
      </c>
      <c r="D27" s="972" t="s">
        <v>1356</v>
      </c>
      <c r="E27" s="973">
        <v>10.7</v>
      </c>
      <c r="F27" s="132" t="s">
        <v>1357</v>
      </c>
      <c r="G27" s="129">
        <v>5736</v>
      </c>
      <c r="H27" s="974"/>
      <c r="I27" s="974" t="s">
        <v>1358</v>
      </c>
      <c r="J27" s="977">
        <f>G27+G28+G29+G30</f>
        <v>107027</v>
      </c>
    </row>
    <row r="28" spans="1:12" ht="14.25">
      <c r="A28" s="963"/>
      <c r="B28" s="967"/>
      <c r="C28" s="972"/>
      <c r="D28" s="972"/>
      <c r="E28" s="973"/>
      <c r="F28" s="132" t="s">
        <v>1359</v>
      </c>
      <c r="G28" s="129">
        <v>8604</v>
      </c>
      <c r="H28" s="975"/>
      <c r="I28" s="975"/>
      <c r="J28" s="977"/>
      <c r="K28" s="388">
        <v>7.9610000000000003</v>
      </c>
      <c r="L28" s="405">
        <f>J27*K28</f>
        <v>852041.94700000004</v>
      </c>
    </row>
    <row r="29" spans="1:12" ht="14.25">
      <c r="A29" s="963"/>
      <c r="B29" s="967"/>
      <c r="C29" s="972"/>
      <c r="D29" s="972"/>
      <c r="E29" s="973"/>
      <c r="F29" s="132" t="s">
        <v>1353</v>
      </c>
      <c r="G29" s="129">
        <v>91936</v>
      </c>
      <c r="H29" s="975"/>
      <c r="I29" s="975"/>
      <c r="J29" s="977"/>
    </row>
    <row r="30" spans="1:12" ht="14.25">
      <c r="A30" s="963"/>
      <c r="B30" s="967"/>
      <c r="C30" s="972"/>
      <c r="D30" s="972"/>
      <c r="E30" s="973"/>
      <c r="F30" s="132" t="s">
        <v>1360</v>
      </c>
      <c r="G30" s="129">
        <v>751</v>
      </c>
      <c r="H30" s="976"/>
      <c r="I30" s="976"/>
      <c r="J30" s="977"/>
    </row>
    <row r="31" spans="1:12" ht="14.25">
      <c r="A31" s="963" t="s">
        <v>132</v>
      </c>
      <c r="B31" s="967" t="s">
        <v>1361</v>
      </c>
      <c r="C31" s="972" t="s">
        <v>1362</v>
      </c>
      <c r="D31" s="972" t="s">
        <v>1363</v>
      </c>
      <c r="E31" s="967">
        <v>11.61</v>
      </c>
      <c r="F31" s="132" t="s">
        <v>1364</v>
      </c>
      <c r="G31" s="129">
        <v>32444</v>
      </c>
      <c r="H31" s="974">
        <f>G31+G32+G33</f>
        <v>116144</v>
      </c>
      <c r="I31" s="139"/>
      <c r="J31" s="139"/>
    </row>
    <row r="32" spans="1:12" ht="14.25">
      <c r="A32" s="963"/>
      <c r="B32" s="967"/>
      <c r="C32" s="972"/>
      <c r="D32" s="972"/>
      <c r="E32" s="967"/>
      <c r="F32" s="132" t="s">
        <v>1365</v>
      </c>
      <c r="G32" s="129">
        <v>32394</v>
      </c>
      <c r="H32" s="975"/>
      <c r="I32" s="139"/>
      <c r="J32" s="139"/>
    </row>
    <row r="33" spans="1:10" ht="14.25">
      <c r="A33" s="963"/>
      <c r="B33" s="967"/>
      <c r="C33" s="972"/>
      <c r="D33" s="972"/>
      <c r="E33" s="967"/>
      <c r="F33" s="132" t="s">
        <v>1366</v>
      </c>
      <c r="G33" s="129">
        <v>51306</v>
      </c>
      <c r="H33" s="976"/>
      <c r="I33" s="139"/>
      <c r="J33" s="139"/>
    </row>
    <row r="34" spans="1:10" ht="37.5">
      <c r="A34" s="134" t="s">
        <v>132</v>
      </c>
      <c r="B34" s="131" t="s">
        <v>1367</v>
      </c>
      <c r="C34" s="135" t="s">
        <v>1368</v>
      </c>
      <c r="D34" s="135" t="s">
        <v>1369</v>
      </c>
      <c r="E34" s="131">
        <v>1.9875</v>
      </c>
      <c r="F34" s="132" t="s">
        <v>1370</v>
      </c>
      <c r="G34" s="129">
        <v>19875</v>
      </c>
      <c r="H34" s="130">
        <v>19875</v>
      </c>
      <c r="I34" s="139"/>
      <c r="J34" s="139"/>
    </row>
    <row r="35" spans="1:10" ht="42.75">
      <c r="A35" s="134" t="s">
        <v>132</v>
      </c>
      <c r="B35" s="131" t="s">
        <v>1371</v>
      </c>
      <c r="C35" s="135" t="s">
        <v>1372</v>
      </c>
      <c r="D35" s="135" t="s">
        <v>1373</v>
      </c>
      <c r="E35" s="131">
        <v>18.059999999999999</v>
      </c>
      <c r="F35" s="132" t="s">
        <v>1374</v>
      </c>
      <c r="G35" s="129">
        <v>180600</v>
      </c>
      <c r="H35" s="130">
        <v>180600</v>
      </c>
      <c r="I35" s="139"/>
      <c r="J35" s="139"/>
    </row>
    <row r="36" spans="1:10" ht="14.25">
      <c r="A36" s="963" t="s">
        <v>132</v>
      </c>
      <c r="B36" s="967" t="s">
        <v>1375</v>
      </c>
      <c r="C36" s="972" t="s">
        <v>1376</v>
      </c>
      <c r="D36" s="972" t="s">
        <v>1377</v>
      </c>
      <c r="E36" s="967">
        <v>3.9986999999999999</v>
      </c>
      <c r="F36" s="132" t="s">
        <v>1378</v>
      </c>
      <c r="G36" s="129">
        <v>8179</v>
      </c>
      <c r="H36" s="977">
        <f>G36+G37+G38</f>
        <v>39987</v>
      </c>
      <c r="I36" s="139"/>
      <c r="J36" s="139"/>
    </row>
    <row r="37" spans="1:10" ht="14.25">
      <c r="A37" s="963"/>
      <c r="B37" s="967"/>
      <c r="C37" s="972"/>
      <c r="D37" s="972"/>
      <c r="E37" s="967"/>
      <c r="F37" s="132" t="s">
        <v>1379</v>
      </c>
      <c r="G37" s="129">
        <v>18829</v>
      </c>
      <c r="H37" s="977"/>
      <c r="I37" s="139"/>
      <c r="J37" s="139"/>
    </row>
    <row r="38" spans="1:10" ht="14.25">
      <c r="A38" s="963"/>
      <c r="B38" s="967"/>
      <c r="C38" s="972"/>
      <c r="D38" s="972"/>
      <c r="E38" s="967"/>
      <c r="F38" s="132" t="s">
        <v>1374</v>
      </c>
      <c r="G38" s="129">
        <v>12979</v>
      </c>
      <c r="H38" s="977"/>
      <c r="I38" s="139"/>
      <c r="J38" s="139"/>
    </row>
    <row r="39" spans="1:10" ht="14.25">
      <c r="A39" s="963" t="s">
        <v>132</v>
      </c>
      <c r="B39" s="967" t="s">
        <v>1380</v>
      </c>
      <c r="C39" s="972" t="s">
        <v>1381</v>
      </c>
      <c r="D39" s="972" t="s">
        <v>1377</v>
      </c>
      <c r="E39" s="967">
        <v>1.6879999999999999</v>
      </c>
      <c r="F39" s="132" t="s">
        <v>1382</v>
      </c>
      <c r="G39" s="136">
        <v>8440</v>
      </c>
      <c r="H39" s="975">
        <f>G39+G40</f>
        <v>16880</v>
      </c>
      <c r="I39" s="139"/>
      <c r="J39" s="139"/>
    </row>
    <row r="40" spans="1:10" ht="14.25">
      <c r="A40" s="963"/>
      <c r="B40" s="967"/>
      <c r="C40" s="972"/>
      <c r="D40" s="972"/>
      <c r="E40" s="967"/>
      <c r="F40" s="132" t="s">
        <v>1317</v>
      </c>
      <c r="G40" s="129">
        <v>8440</v>
      </c>
      <c r="H40" s="976"/>
      <c r="I40" s="139"/>
      <c r="J40" s="139"/>
    </row>
    <row r="41" spans="1:10" ht="14.25">
      <c r="A41" s="963" t="s">
        <v>132</v>
      </c>
      <c r="B41" s="967" t="s">
        <v>1383</v>
      </c>
      <c r="C41" s="972" t="s">
        <v>1384</v>
      </c>
      <c r="D41" s="972" t="s">
        <v>1385</v>
      </c>
      <c r="E41" s="967">
        <v>5.851</v>
      </c>
      <c r="F41" s="132" t="s">
        <v>1309</v>
      </c>
      <c r="G41" s="129">
        <v>54240</v>
      </c>
      <c r="H41" s="974">
        <f>G41+G42</f>
        <v>58510</v>
      </c>
      <c r="I41" s="139"/>
      <c r="J41" s="139"/>
    </row>
    <row r="42" spans="1:10" ht="14.25">
      <c r="A42" s="963"/>
      <c r="B42" s="967"/>
      <c r="C42" s="972"/>
      <c r="D42" s="972"/>
      <c r="E42" s="967"/>
      <c r="F42" s="132" t="s">
        <v>1386</v>
      </c>
      <c r="G42" s="129">
        <v>4270</v>
      </c>
      <c r="H42" s="976"/>
      <c r="I42" s="139"/>
      <c r="J42" s="139"/>
    </row>
    <row r="43" spans="1:10" ht="37.5">
      <c r="A43" s="134" t="s">
        <v>132</v>
      </c>
      <c r="B43" s="131" t="s">
        <v>1387</v>
      </c>
      <c r="C43" s="135" t="s">
        <v>1388</v>
      </c>
      <c r="D43" s="135" t="s">
        <v>1389</v>
      </c>
      <c r="E43" s="131">
        <v>1.8919999999999999</v>
      </c>
      <c r="F43" s="132" t="s">
        <v>1341</v>
      </c>
      <c r="G43" s="129">
        <v>18920</v>
      </c>
      <c r="H43" s="130">
        <v>18920</v>
      </c>
      <c r="I43" s="139"/>
      <c r="J43" s="139"/>
    </row>
    <row r="44" spans="1:10" ht="37.5">
      <c r="A44" s="134" t="s">
        <v>132</v>
      </c>
      <c r="B44" s="131" t="s">
        <v>1390</v>
      </c>
      <c r="C44" s="135" t="s">
        <v>1391</v>
      </c>
      <c r="D44" s="135" t="s">
        <v>1392</v>
      </c>
      <c r="E44" s="131">
        <v>3.7879999999999998</v>
      </c>
      <c r="F44" s="132" t="s">
        <v>1393</v>
      </c>
      <c r="G44" s="129">
        <v>37880</v>
      </c>
      <c r="H44" s="130">
        <v>37880</v>
      </c>
      <c r="I44" s="139"/>
      <c r="J44" s="139"/>
    </row>
    <row r="45" spans="1:10" ht="37.5">
      <c r="A45" s="134" t="s">
        <v>132</v>
      </c>
      <c r="B45" s="131" t="s">
        <v>1394</v>
      </c>
      <c r="C45" s="135" t="s">
        <v>1395</v>
      </c>
      <c r="D45" s="135" t="s">
        <v>1396</v>
      </c>
      <c r="E45" s="131">
        <v>1.6099000000000001</v>
      </c>
      <c r="F45" s="132" t="s">
        <v>1309</v>
      </c>
      <c r="G45" s="129">
        <v>16099</v>
      </c>
      <c r="H45" s="130">
        <v>16099</v>
      </c>
      <c r="I45" s="139"/>
      <c r="J45" s="139"/>
    </row>
    <row r="46" spans="1:10" ht="14.25">
      <c r="A46" s="963" t="s">
        <v>132</v>
      </c>
      <c r="B46" s="967" t="s">
        <v>1397</v>
      </c>
      <c r="C46" s="972" t="s">
        <v>1398</v>
      </c>
      <c r="D46" s="972" t="s">
        <v>1399</v>
      </c>
      <c r="E46" s="967">
        <v>6.2750000000000004</v>
      </c>
      <c r="F46" s="132" t="s">
        <v>1400</v>
      </c>
      <c r="G46" s="129">
        <v>21250</v>
      </c>
      <c r="H46" s="978">
        <f>G46+G47+G48</f>
        <v>62750</v>
      </c>
      <c r="I46" s="962" t="s">
        <v>1401</v>
      </c>
      <c r="J46" s="139"/>
    </row>
    <row r="47" spans="1:10" ht="14.25">
      <c r="A47" s="963"/>
      <c r="B47" s="967"/>
      <c r="C47" s="972"/>
      <c r="D47" s="972"/>
      <c r="E47" s="967"/>
      <c r="F47" s="132" t="s">
        <v>1341</v>
      </c>
      <c r="G47" s="129">
        <v>21250</v>
      </c>
      <c r="H47" s="979"/>
      <c r="I47" s="962"/>
      <c r="J47" s="139"/>
    </row>
    <row r="48" spans="1:10" ht="14.25">
      <c r="A48" s="963"/>
      <c r="B48" s="967"/>
      <c r="C48" s="972"/>
      <c r="D48" s="972"/>
      <c r="E48" s="967"/>
      <c r="F48" s="132" t="s">
        <v>1402</v>
      </c>
      <c r="G48" s="129">
        <v>20250</v>
      </c>
      <c r="H48" s="980"/>
      <c r="I48" s="962"/>
      <c r="J48" s="139"/>
    </row>
    <row r="49" spans="1:12" ht="14.25">
      <c r="A49" s="963" t="s">
        <v>132</v>
      </c>
      <c r="B49" s="967" t="s">
        <v>1403</v>
      </c>
      <c r="C49" s="972" t="s">
        <v>1404</v>
      </c>
      <c r="D49" s="972" t="s">
        <v>1405</v>
      </c>
      <c r="E49" s="967">
        <v>3.4969999999999999</v>
      </c>
      <c r="F49" s="132" t="s">
        <v>1402</v>
      </c>
      <c r="G49" s="129">
        <v>10485</v>
      </c>
      <c r="H49" s="974">
        <f>G49+G50</f>
        <v>34970</v>
      </c>
      <c r="I49" s="139"/>
      <c r="J49" s="139"/>
    </row>
    <row r="50" spans="1:12" ht="14.25">
      <c r="A50" s="963"/>
      <c r="B50" s="967"/>
      <c r="C50" s="972"/>
      <c r="D50" s="972"/>
      <c r="E50" s="967"/>
      <c r="F50" s="132" t="s">
        <v>1346</v>
      </c>
      <c r="G50" s="129">
        <v>24485</v>
      </c>
      <c r="H50" s="976"/>
      <c r="I50" s="139"/>
      <c r="J50" s="139"/>
    </row>
    <row r="51" spans="1:12" ht="14.25">
      <c r="A51" s="963" t="s">
        <v>132</v>
      </c>
      <c r="B51" s="967" t="s">
        <v>1406</v>
      </c>
      <c r="C51" s="972" t="s">
        <v>1407</v>
      </c>
      <c r="D51" s="972" t="s">
        <v>1408</v>
      </c>
      <c r="E51" s="967">
        <v>59.983499999999999</v>
      </c>
      <c r="F51" s="132" t="s">
        <v>1409</v>
      </c>
      <c r="G51" s="129">
        <v>211285</v>
      </c>
      <c r="H51" s="974">
        <f>G51+G52+G53</f>
        <v>599835</v>
      </c>
      <c r="I51" s="139"/>
      <c r="J51" s="139"/>
    </row>
    <row r="52" spans="1:12" ht="14.25">
      <c r="A52" s="963"/>
      <c r="B52" s="967"/>
      <c r="C52" s="972"/>
      <c r="D52" s="972"/>
      <c r="E52" s="967"/>
      <c r="F52" s="132" t="s">
        <v>1410</v>
      </c>
      <c r="G52" s="129">
        <v>194275</v>
      </c>
      <c r="H52" s="975"/>
      <c r="I52" s="139"/>
      <c r="J52" s="139"/>
    </row>
    <row r="53" spans="1:12" ht="14.25">
      <c r="A53" s="963"/>
      <c r="B53" s="967"/>
      <c r="C53" s="972"/>
      <c r="D53" s="972"/>
      <c r="E53" s="967"/>
      <c r="F53" s="132" t="s">
        <v>1411</v>
      </c>
      <c r="G53" s="129">
        <v>194275</v>
      </c>
      <c r="H53" s="975"/>
      <c r="I53" s="139"/>
      <c r="J53" s="139"/>
    </row>
    <row r="54" spans="1:12" ht="14.25">
      <c r="A54" s="963" t="s">
        <v>132</v>
      </c>
      <c r="B54" s="967" t="s">
        <v>1412</v>
      </c>
      <c r="C54" s="972" t="s">
        <v>1413</v>
      </c>
      <c r="D54" s="972" t="s">
        <v>372</v>
      </c>
      <c r="E54" s="973">
        <v>22.8</v>
      </c>
      <c r="F54" s="132" t="s">
        <v>1393</v>
      </c>
      <c r="G54" s="129">
        <v>10000</v>
      </c>
      <c r="H54" s="977"/>
      <c r="I54" s="977">
        <f>G54+G55+G56+G57</f>
        <v>228000</v>
      </c>
      <c r="J54" s="977" t="s">
        <v>1414</v>
      </c>
    </row>
    <row r="55" spans="1:12" ht="14.25">
      <c r="A55" s="963"/>
      <c r="B55" s="967"/>
      <c r="C55" s="972"/>
      <c r="D55" s="972"/>
      <c r="E55" s="973"/>
      <c r="F55" s="132" t="s">
        <v>1415</v>
      </c>
      <c r="G55" s="129">
        <v>148500</v>
      </c>
      <c r="H55" s="977"/>
      <c r="I55" s="977"/>
      <c r="J55" s="977"/>
      <c r="K55">
        <v>4.8657000000000004</v>
      </c>
      <c r="L55" s="406">
        <f>I54*K55</f>
        <v>1109379.6000000001</v>
      </c>
    </row>
    <row r="56" spans="1:12" ht="14.25">
      <c r="A56" s="963"/>
      <c r="B56" s="967"/>
      <c r="C56" s="972"/>
      <c r="D56" s="972"/>
      <c r="E56" s="973"/>
      <c r="F56" s="132" t="s">
        <v>1337</v>
      </c>
      <c r="G56" s="129">
        <v>49500</v>
      </c>
      <c r="H56" s="977"/>
      <c r="I56" s="977"/>
      <c r="J56" s="977"/>
    </row>
    <row r="57" spans="1:12" ht="14.25">
      <c r="A57" s="963"/>
      <c r="B57" s="967"/>
      <c r="C57" s="972"/>
      <c r="D57" s="972"/>
      <c r="E57" s="973"/>
      <c r="F57" s="132" t="s">
        <v>1416</v>
      </c>
      <c r="G57" s="129">
        <v>20000</v>
      </c>
      <c r="H57" s="977"/>
      <c r="I57" s="977"/>
      <c r="J57" s="977"/>
    </row>
    <row r="58" spans="1:12" ht="14.25">
      <c r="A58" s="129" t="s">
        <v>182</v>
      </c>
      <c r="B58" s="129"/>
      <c r="C58" s="129"/>
      <c r="D58" s="129"/>
      <c r="E58" s="129">
        <f t="shared" ref="E58:G58" si="0">SUM(E2:E57)</f>
        <v>384.0052</v>
      </c>
      <c r="F58" s="129"/>
      <c r="G58" s="129">
        <f t="shared" si="0"/>
        <v>3840123</v>
      </c>
      <c r="H58" s="407">
        <f>SUM(H13:H57)</f>
        <v>2972613</v>
      </c>
      <c r="I58" s="139"/>
      <c r="J58" s="139"/>
    </row>
    <row r="59" spans="1:12" ht="18.75">
      <c r="A59" s="961"/>
      <c r="B59" s="961"/>
      <c r="C59" s="962"/>
      <c r="D59" s="962"/>
      <c r="E59" s="138"/>
      <c r="F59" s="137"/>
      <c r="G59" s="137"/>
      <c r="H59" s="408">
        <f>H58*7.0795</f>
        <v>21044613.7335</v>
      </c>
      <c r="I59" s="139">
        <f>H58*7.0795+I54*4.8657+J27*7.961</f>
        <v>23006035.280500002</v>
      </c>
      <c r="J59" s="139"/>
    </row>
    <row r="61" spans="1:12">
      <c r="G61" s="395" t="s">
        <v>3087</v>
      </c>
      <c r="H61" s="398">
        <f>H59+L55+L28</f>
        <v>23006035.280500002</v>
      </c>
    </row>
  </sheetData>
  <mergeCells count="97">
    <mergeCell ref="I27:I30"/>
    <mergeCell ref="I46:I48"/>
    <mergeCell ref="I54:I57"/>
    <mergeCell ref="J27:J30"/>
    <mergeCell ref="J54:J57"/>
    <mergeCell ref="H41:H42"/>
    <mergeCell ref="H46:H48"/>
    <mergeCell ref="H49:H50"/>
    <mergeCell ref="H51:H53"/>
    <mergeCell ref="H54:H57"/>
    <mergeCell ref="H25:H26"/>
    <mergeCell ref="H27:H30"/>
    <mergeCell ref="H31:H33"/>
    <mergeCell ref="H36:H38"/>
    <mergeCell ref="H39:H40"/>
    <mergeCell ref="H2:H11"/>
    <mergeCell ref="H13:H14"/>
    <mergeCell ref="H15:H17"/>
    <mergeCell ref="H18:H19"/>
    <mergeCell ref="H21:H23"/>
    <mergeCell ref="E41:E42"/>
    <mergeCell ref="E46:E48"/>
    <mergeCell ref="E49:E50"/>
    <mergeCell ref="E51:E53"/>
    <mergeCell ref="E54:E57"/>
    <mergeCell ref="E25:E26"/>
    <mergeCell ref="E27:E30"/>
    <mergeCell ref="E31:E33"/>
    <mergeCell ref="E36:E38"/>
    <mergeCell ref="E39:E40"/>
    <mergeCell ref="E2:E11"/>
    <mergeCell ref="E13:E14"/>
    <mergeCell ref="E15:E17"/>
    <mergeCell ref="E18:E19"/>
    <mergeCell ref="E21:E23"/>
    <mergeCell ref="D41:D42"/>
    <mergeCell ref="D46:D48"/>
    <mergeCell ref="D49:D50"/>
    <mergeCell ref="D51:D53"/>
    <mergeCell ref="D54:D57"/>
    <mergeCell ref="D25:D26"/>
    <mergeCell ref="D27:D30"/>
    <mergeCell ref="D31:D33"/>
    <mergeCell ref="D36:D38"/>
    <mergeCell ref="D39:D40"/>
    <mergeCell ref="D2:D11"/>
    <mergeCell ref="D13:D14"/>
    <mergeCell ref="D15:D17"/>
    <mergeCell ref="D18:D19"/>
    <mergeCell ref="D21:D23"/>
    <mergeCell ref="C41:C42"/>
    <mergeCell ref="C46:C48"/>
    <mergeCell ref="C49:C50"/>
    <mergeCell ref="C51:C53"/>
    <mergeCell ref="C54:C57"/>
    <mergeCell ref="C25:C26"/>
    <mergeCell ref="C27:C30"/>
    <mergeCell ref="C31:C33"/>
    <mergeCell ref="C36:C38"/>
    <mergeCell ref="C39:C40"/>
    <mergeCell ref="C2:C11"/>
    <mergeCell ref="C13:C14"/>
    <mergeCell ref="C15:C17"/>
    <mergeCell ref="C18:C19"/>
    <mergeCell ref="C21:C23"/>
    <mergeCell ref="A54:A57"/>
    <mergeCell ref="B2:B11"/>
    <mergeCell ref="B13:B14"/>
    <mergeCell ref="B15:B17"/>
    <mergeCell ref="B18:B19"/>
    <mergeCell ref="B21:B23"/>
    <mergeCell ref="B25:B26"/>
    <mergeCell ref="B27:B30"/>
    <mergeCell ref="B31:B33"/>
    <mergeCell ref="B36:B38"/>
    <mergeCell ref="B39:B40"/>
    <mergeCell ref="B41:B42"/>
    <mergeCell ref="B46:B48"/>
    <mergeCell ref="B49:B50"/>
    <mergeCell ref="B51:B53"/>
    <mergeCell ref="B54:B57"/>
    <mergeCell ref="A59:B59"/>
    <mergeCell ref="C59:D59"/>
    <mergeCell ref="A2:A11"/>
    <mergeCell ref="A13:A14"/>
    <mergeCell ref="A15:A17"/>
    <mergeCell ref="A18:A19"/>
    <mergeCell ref="A21:A23"/>
    <mergeCell ref="A25:A26"/>
    <mergeCell ref="A27:A30"/>
    <mergeCell ref="A31:A33"/>
    <mergeCell ref="A36:A38"/>
    <mergeCell ref="A39:A40"/>
    <mergeCell ref="A41:A42"/>
    <mergeCell ref="A46:A48"/>
    <mergeCell ref="A49:A50"/>
    <mergeCell ref="A51:A53"/>
  </mergeCells>
  <phoneticPr fontId="92" type="noConversion"/>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dimension ref="A1:G19"/>
  <sheetViews>
    <sheetView topLeftCell="A2" workbookViewId="0">
      <selection activeCell="B43" sqref="B43"/>
    </sheetView>
  </sheetViews>
  <sheetFormatPr defaultColWidth="8.875" defaultRowHeight="13.5"/>
  <cols>
    <col min="1" max="1" width="32.875" style="123" customWidth="1"/>
    <col min="2" max="2" width="28.5" style="123" customWidth="1"/>
    <col min="3" max="3" width="25.375" style="123" customWidth="1"/>
    <col min="4" max="4" width="15.5" style="123" customWidth="1"/>
    <col min="5" max="5" width="16.125" style="123" customWidth="1"/>
    <col min="6" max="6" width="15.875" style="124" customWidth="1"/>
    <col min="7" max="7" width="14.375" style="123"/>
    <col min="8" max="16384" width="8.875" style="123"/>
  </cols>
  <sheetData>
    <row r="1" spans="1:7" ht="18.95" customHeight="1">
      <c r="A1" s="982" t="s">
        <v>1417</v>
      </c>
      <c r="B1" s="982" t="s">
        <v>365</v>
      </c>
      <c r="C1" s="982"/>
      <c r="D1" s="982"/>
      <c r="E1" s="982"/>
      <c r="F1" s="981" t="s">
        <v>1418</v>
      </c>
      <c r="G1" s="127"/>
    </row>
    <row r="2" spans="1:7" ht="36.200000000000003" customHeight="1">
      <c r="A2" s="982"/>
      <c r="B2" s="982" t="s">
        <v>367</v>
      </c>
      <c r="C2" s="982" t="s">
        <v>332</v>
      </c>
      <c r="D2" s="982" t="s">
        <v>368</v>
      </c>
      <c r="E2" s="125" t="s">
        <v>289</v>
      </c>
      <c r="F2" s="981"/>
      <c r="G2" s="127"/>
    </row>
    <row r="3" spans="1:7" ht="14.25">
      <c r="A3" s="982"/>
      <c r="B3" s="982"/>
      <c r="C3" s="982"/>
      <c r="D3" s="982"/>
      <c r="E3" s="125" t="s">
        <v>1419</v>
      </c>
      <c r="F3" s="981"/>
      <c r="G3" s="127"/>
    </row>
    <row r="4" spans="1:7" ht="14.25">
      <c r="A4" s="125" t="s">
        <v>141</v>
      </c>
      <c r="B4" s="125" t="s">
        <v>1420</v>
      </c>
      <c r="C4" s="125" t="s">
        <v>1421</v>
      </c>
      <c r="D4" s="125" t="s">
        <v>459</v>
      </c>
      <c r="E4" s="125">
        <v>239.73</v>
      </c>
      <c r="F4" s="126">
        <f>5.8124+5.6926+5.6596+5.6099+5.717+5.4551</f>
        <v>33.946599999999997</v>
      </c>
      <c r="G4" s="127"/>
    </row>
    <row r="5" spans="1:7" ht="14.25">
      <c r="A5" s="125" t="s">
        <v>141</v>
      </c>
      <c r="B5" s="125" t="s">
        <v>1422</v>
      </c>
      <c r="C5" s="125" t="s">
        <v>1421</v>
      </c>
      <c r="D5" s="125" t="s">
        <v>459</v>
      </c>
      <c r="E5" s="125">
        <v>21.91</v>
      </c>
      <c r="F5" s="126">
        <v>3.0636999999999999</v>
      </c>
      <c r="G5" s="127"/>
    </row>
    <row r="6" spans="1:7" ht="14.25">
      <c r="A6" s="125" t="s">
        <v>141</v>
      </c>
      <c r="B6" s="125" t="s">
        <v>1423</v>
      </c>
      <c r="C6" s="125" t="s">
        <v>1424</v>
      </c>
      <c r="D6" s="125" t="s">
        <v>459</v>
      </c>
      <c r="E6" s="125">
        <v>92.31</v>
      </c>
      <c r="F6" s="126">
        <v>13.198499999999999</v>
      </c>
      <c r="G6" s="127"/>
    </row>
    <row r="7" spans="1:7" ht="14.25">
      <c r="A7" s="125" t="s">
        <v>141</v>
      </c>
      <c r="B7" s="125" t="s">
        <v>1425</v>
      </c>
      <c r="C7" s="125" t="s">
        <v>1421</v>
      </c>
      <c r="D7" s="125" t="s">
        <v>459</v>
      </c>
      <c r="E7" s="125">
        <v>65.62</v>
      </c>
      <c r="F7" s="126">
        <f>3.997+5.3458</f>
        <v>9.3428000000000004</v>
      </c>
      <c r="G7" s="127"/>
    </row>
    <row r="8" spans="1:7" ht="14.25">
      <c r="A8" s="125" t="s">
        <v>182</v>
      </c>
      <c r="B8" s="125"/>
      <c r="C8" s="125"/>
      <c r="D8" s="125"/>
      <c r="E8" s="125">
        <v>419.57</v>
      </c>
      <c r="F8" s="128">
        <f>SUM(F4:F7)</f>
        <v>59.551599999999993</v>
      </c>
      <c r="G8" s="127">
        <f>F8*7.0795</f>
        <v>421.59555219999999</v>
      </c>
    </row>
    <row r="10" spans="1:7" ht="14.25">
      <c r="E10" s="430">
        <v>5.8</v>
      </c>
    </row>
    <row r="11" spans="1:7" ht="14.25">
      <c r="E11" s="430">
        <v>5.8</v>
      </c>
    </row>
    <row r="12" spans="1:7" ht="14.25">
      <c r="E12" s="430">
        <v>5.8</v>
      </c>
    </row>
    <row r="13" spans="1:7" ht="14.25">
      <c r="E13" s="430">
        <v>5.8</v>
      </c>
    </row>
    <row r="14" spans="1:7" ht="14.25">
      <c r="E14" s="430">
        <v>5.8</v>
      </c>
    </row>
    <row r="15" spans="1:7" ht="14.25">
      <c r="E15" s="430">
        <v>5.8</v>
      </c>
    </row>
    <row r="16" spans="1:7" ht="14.25">
      <c r="E16" s="430">
        <v>10</v>
      </c>
    </row>
    <row r="17" spans="5:6">
      <c r="E17" s="431">
        <v>13</v>
      </c>
      <c r="F17" s="432" t="s">
        <v>3099</v>
      </c>
    </row>
    <row r="18" spans="5:6">
      <c r="E18" s="123">
        <f>SUM(E10:E17)</f>
        <v>57.8</v>
      </c>
    </row>
    <row r="19" spans="5:6">
      <c r="E19" s="123">
        <f>E18*7</f>
        <v>404.59999999999997</v>
      </c>
    </row>
  </sheetData>
  <mergeCells count="6">
    <mergeCell ref="F1:F3"/>
    <mergeCell ref="B1:E1"/>
    <mergeCell ref="A1:A3"/>
    <mergeCell ref="B2:B3"/>
    <mergeCell ref="C2:C3"/>
    <mergeCell ref="D2:D3"/>
  </mergeCells>
  <phoneticPr fontId="92" type="noConversion"/>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dimension ref="A1:D27"/>
  <sheetViews>
    <sheetView topLeftCell="A19" workbookViewId="0">
      <selection activeCell="D27" sqref="D27"/>
    </sheetView>
  </sheetViews>
  <sheetFormatPr defaultColWidth="8.875" defaultRowHeight="13.5"/>
  <cols>
    <col min="1" max="1" width="28.875" style="110" customWidth="1"/>
    <col min="2" max="2" width="20" style="110" customWidth="1"/>
    <col min="3" max="3" width="18.5" style="111" customWidth="1"/>
    <col min="4" max="4" width="26" style="110" customWidth="1"/>
  </cols>
  <sheetData>
    <row r="1" spans="1:4" ht="33.950000000000003" customHeight="1">
      <c r="A1" s="983" t="s">
        <v>147</v>
      </c>
      <c r="B1" s="983"/>
      <c r="C1" s="983"/>
      <c r="D1" s="983"/>
    </row>
    <row r="2" spans="1:4" ht="36.950000000000003" customHeight="1">
      <c r="A2" s="984" t="s">
        <v>1426</v>
      </c>
      <c r="B2" s="984"/>
      <c r="C2" s="984"/>
      <c r="D2" s="984"/>
    </row>
    <row r="3" spans="1:4" ht="24.95" customHeight="1">
      <c r="A3" s="986" t="s">
        <v>1427</v>
      </c>
      <c r="B3" s="987"/>
      <c r="C3" s="987"/>
      <c r="D3" s="988"/>
    </row>
    <row r="4" spans="1:4" ht="24.95" customHeight="1">
      <c r="A4" s="989"/>
      <c r="B4" s="990"/>
      <c r="C4" s="990"/>
      <c r="D4" s="991"/>
    </row>
    <row r="5" spans="1:4" ht="24.95" customHeight="1">
      <c r="A5" s="986" t="s">
        <v>1428</v>
      </c>
      <c r="B5" s="987"/>
      <c r="C5" s="987"/>
      <c r="D5" s="988"/>
    </row>
    <row r="6" spans="1:4" ht="24.95" customHeight="1">
      <c r="A6" s="989"/>
      <c r="B6" s="990"/>
      <c r="C6" s="990"/>
      <c r="D6" s="991"/>
    </row>
    <row r="7" spans="1:4" ht="24.95" customHeight="1">
      <c r="A7" s="112" t="s">
        <v>1429</v>
      </c>
      <c r="B7" s="112" t="s">
        <v>1430</v>
      </c>
      <c r="C7" s="112" t="s">
        <v>1429</v>
      </c>
      <c r="D7" s="112" t="s">
        <v>1430</v>
      </c>
    </row>
    <row r="8" spans="1:4" ht="24.95" customHeight="1">
      <c r="A8" s="113">
        <v>43656</v>
      </c>
      <c r="B8" s="114">
        <v>290448</v>
      </c>
      <c r="C8" s="113">
        <v>43833</v>
      </c>
      <c r="D8" s="114">
        <v>298596</v>
      </c>
    </row>
    <row r="9" spans="1:4" ht="24.95" customHeight="1">
      <c r="A9" s="113">
        <v>43657</v>
      </c>
      <c r="B9" s="114">
        <v>2839</v>
      </c>
      <c r="C9" s="113">
        <v>43850</v>
      </c>
      <c r="D9" s="114">
        <v>257154</v>
      </c>
    </row>
    <row r="10" spans="1:4" ht="24.95" customHeight="1">
      <c r="A10" s="113">
        <v>43670</v>
      </c>
      <c r="B10" s="114">
        <v>290448</v>
      </c>
      <c r="C10" s="113">
        <v>43873</v>
      </c>
      <c r="D10" s="114">
        <v>257154</v>
      </c>
    </row>
    <row r="11" spans="1:4" ht="24.95" customHeight="1">
      <c r="A11" s="113">
        <v>43685</v>
      </c>
      <c r="B11" s="114">
        <v>290153</v>
      </c>
      <c r="C11" s="113">
        <v>43881</v>
      </c>
      <c r="D11" s="114">
        <v>400028</v>
      </c>
    </row>
    <row r="12" spans="1:4" ht="24.95" customHeight="1">
      <c r="A12" s="113">
        <v>43699</v>
      </c>
      <c r="B12" s="114">
        <v>2485</v>
      </c>
      <c r="C12" s="113">
        <v>43893</v>
      </c>
      <c r="D12" s="114">
        <v>238277</v>
      </c>
    </row>
    <row r="13" spans="1:4" ht="24.95" customHeight="1">
      <c r="A13" s="113">
        <v>43700</v>
      </c>
      <c r="B13" s="114">
        <v>333678</v>
      </c>
      <c r="C13" s="113">
        <v>43914</v>
      </c>
      <c r="D13" s="114">
        <v>389592</v>
      </c>
    </row>
    <row r="14" spans="1:4" ht="24.95" customHeight="1">
      <c r="A14" s="113">
        <v>43717</v>
      </c>
      <c r="B14" s="114">
        <v>376893</v>
      </c>
      <c r="C14" s="113">
        <v>43929</v>
      </c>
      <c r="D14" s="114">
        <v>296161</v>
      </c>
    </row>
    <row r="15" spans="1:4" ht="24.95" customHeight="1">
      <c r="A15" s="113">
        <v>43732</v>
      </c>
      <c r="B15" s="114">
        <v>111660</v>
      </c>
      <c r="C15" s="113">
        <v>43944</v>
      </c>
      <c r="D15" s="114">
        <v>126916</v>
      </c>
    </row>
    <row r="16" spans="1:4" ht="24.95" customHeight="1">
      <c r="A16" s="113">
        <v>43747</v>
      </c>
      <c r="B16" s="114">
        <v>438032</v>
      </c>
      <c r="C16" s="113">
        <v>43958</v>
      </c>
      <c r="D16" s="114">
        <v>253850</v>
      </c>
    </row>
    <row r="17" spans="1:4" ht="24.95" customHeight="1">
      <c r="A17" s="115">
        <v>43750</v>
      </c>
      <c r="B17" s="114">
        <v>5716</v>
      </c>
      <c r="C17" s="115">
        <v>43972</v>
      </c>
      <c r="D17" s="116">
        <v>253850</v>
      </c>
    </row>
    <row r="18" spans="1:4" ht="24.95" customHeight="1">
      <c r="A18" s="115">
        <v>43762</v>
      </c>
      <c r="B18" s="114">
        <v>308425</v>
      </c>
      <c r="C18" s="115">
        <v>43983</v>
      </c>
      <c r="D18" s="116">
        <v>254406</v>
      </c>
    </row>
    <row r="19" spans="1:4" ht="24.95" customHeight="1">
      <c r="A19" s="115">
        <v>43777</v>
      </c>
      <c r="B19" s="114">
        <v>382202</v>
      </c>
      <c r="C19" s="115">
        <v>44005</v>
      </c>
      <c r="D19" s="116">
        <v>307279</v>
      </c>
    </row>
    <row r="20" spans="1:4" ht="24.95" customHeight="1">
      <c r="A20" s="115">
        <v>43783</v>
      </c>
      <c r="B20" s="116">
        <v>2993</v>
      </c>
      <c r="C20" s="117"/>
      <c r="D20" s="118"/>
    </row>
    <row r="21" spans="1:4" ht="24.95" customHeight="1">
      <c r="A21" s="115">
        <v>43796</v>
      </c>
      <c r="B21" s="116">
        <v>325577</v>
      </c>
      <c r="C21" s="117"/>
      <c r="D21" s="118"/>
    </row>
    <row r="22" spans="1:4" ht="24.95" customHeight="1">
      <c r="A22" s="115">
        <v>43805</v>
      </c>
      <c r="B22" s="116">
        <v>182984</v>
      </c>
      <c r="C22" s="117"/>
      <c r="D22" s="118"/>
    </row>
    <row r="23" spans="1:4" ht="24.95" customHeight="1">
      <c r="A23" s="115">
        <v>43818</v>
      </c>
      <c r="B23" s="116">
        <v>382202</v>
      </c>
      <c r="C23" s="117"/>
      <c r="D23" s="118"/>
    </row>
    <row r="24" spans="1:4" ht="24.95" customHeight="1">
      <c r="A24" s="115"/>
      <c r="B24" s="116"/>
      <c r="C24" s="115"/>
      <c r="D24" s="119"/>
    </row>
    <row r="25" spans="1:4" ht="24.95" customHeight="1">
      <c r="A25" s="120" t="s">
        <v>1431</v>
      </c>
      <c r="B25" s="121">
        <f>SUM(B8:B24)</f>
        <v>3726735</v>
      </c>
      <c r="C25" s="120" t="s">
        <v>1431</v>
      </c>
      <c r="D25" s="121">
        <f>SUM(D8:D24)</f>
        <v>3333263</v>
      </c>
    </row>
    <row r="26" spans="1:4" ht="24.95" customHeight="1">
      <c r="A26" s="985" t="s">
        <v>1432</v>
      </c>
      <c r="B26" s="985"/>
      <c r="C26" s="985"/>
      <c r="D26" s="122">
        <f>B25+D25</f>
        <v>7059998</v>
      </c>
    </row>
    <row r="27" spans="1:4">
      <c r="D27" s="110">
        <f>D26*7</f>
        <v>49419986</v>
      </c>
    </row>
  </sheetData>
  <mergeCells count="5">
    <mergeCell ref="A1:D1"/>
    <mergeCell ref="A2:D2"/>
    <mergeCell ref="A26:C26"/>
    <mergeCell ref="A5:D6"/>
    <mergeCell ref="A3:D4"/>
  </mergeCells>
  <phoneticPr fontId="92" type="noConversion"/>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dimension ref="A1:L89"/>
  <sheetViews>
    <sheetView topLeftCell="A82" zoomScale="60" zoomScaleNormal="60" workbookViewId="0">
      <selection activeCell="H95" sqref="H95"/>
    </sheetView>
  </sheetViews>
  <sheetFormatPr defaultColWidth="9" defaultRowHeight="13.5"/>
  <cols>
    <col min="1" max="1" width="15" style="72" customWidth="1"/>
    <col min="2" max="2" width="29.625" style="72" customWidth="1"/>
    <col min="3" max="3" width="10.375" style="72" customWidth="1"/>
    <col min="4" max="4" width="13.375" style="72" customWidth="1"/>
    <col min="5" max="5" width="23.375" style="72" customWidth="1"/>
    <col min="6" max="6" width="27.625" style="72" customWidth="1"/>
    <col min="7" max="7" width="19.625" style="72" customWidth="1"/>
    <col min="8" max="8" width="26.375" style="72" customWidth="1"/>
    <col min="9" max="9" width="10.875" style="72" customWidth="1"/>
    <col min="10" max="10" width="17.125" style="72" customWidth="1"/>
    <col min="11" max="11" width="15.375" style="72" customWidth="1"/>
    <col min="12" max="12" width="19.625" style="72" customWidth="1"/>
    <col min="13" max="16384" width="9" style="72"/>
  </cols>
  <sheetData>
    <row r="1" spans="1:12" ht="25.5">
      <c r="A1" s="992" t="s">
        <v>1433</v>
      </c>
      <c r="B1" s="992"/>
      <c r="C1" s="992"/>
      <c r="D1" s="992"/>
      <c r="E1" s="992"/>
      <c r="F1" s="992"/>
      <c r="G1" s="992"/>
      <c r="H1" s="992"/>
      <c r="I1" s="992"/>
      <c r="J1" s="992"/>
      <c r="K1" s="992"/>
      <c r="L1" s="92"/>
    </row>
    <row r="2" spans="1:12" ht="60.75">
      <c r="A2" s="74" t="s">
        <v>180</v>
      </c>
      <c r="B2" s="74" t="s">
        <v>1434</v>
      </c>
      <c r="C2" s="74" t="s">
        <v>1435</v>
      </c>
      <c r="D2" s="74" t="s">
        <v>1436</v>
      </c>
      <c r="E2" s="74" t="s">
        <v>1437</v>
      </c>
      <c r="F2" s="74" t="s">
        <v>1438</v>
      </c>
      <c r="G2" s="74" t="s">
        <v>1439</v>
      </c>
      <c r="H2" s="74" t="s">
        <v>292</v>
      </c>
      <c r="I2" s="74" t="s">
        <v>1188</v>
      </c>
      <c r="J2" s="93" t="s">
        <v>1440</v>
      </c>
      <c r="K2" s="74" t="s">
        <v>1441</v>
      </c>
      <c r="L2" s="74" t="s">
        <v>1442</v>
      </c>
    </row>
    <row r="3" spans="1:12" ht="141.75">
      <c r="A3" s="75">
        <v>1</v>
      </c>
      <c r="B3" s="76" t="s">
        <v>1443</v>
      </c>
      <c r="C3" s="74" t="s">
        <v>1444</v>
      </c>
      <c r="D3" s="76" t="s">
        <v>1445</v>
      </c>
      <c r="E3" s="75" t="s">
        <v>1446</v>
      </c>
      <c r="F3" s="76" t="s">
        <v>1447</v>
      </c>
      <c r="G3" s="77">
        <v>43662</v>
      </c>
      <c r="I3" s="74" t="s">
        <v>1207</v>
      </c>
      <c r="J3" s="94">
        <v>45.29</v>
      </c>
      <c r="K3" s="76" t="s">
        <v>1448</v>
      </c>
      <c r="L3" s="95">
        <v>65970</v>
      </c>
    </row>
    <row r="4" spans="1:12" ht="121.5">
      <c r="A4" s="993">
        <v>2</v>
      </c>
      <c r="B4" s="76" t="s">
        <v>1449</v>
      </c>
      <c r="C4" s="74" t="s">
        <v>540</v>
      </c>
      <c r="D4" s="997" t="s">
        <v>1450</v>
      </c>
      <c r="E4" s="993" t="s">
        <v>1451</v>
      </c>
      <c r="F4" s="76" t="s">
        <v>1452</v>
      </c>
      <c r="G4" s="77">
        <v>43691</v>
      </c>
      <c r="H4" s="79">
        <v>177628.79999999999</v>
      </c>
      <c r="I4" s="74" t="s">
        <v>1207</v>
      </c>
      <c r="J4" s="94">
        <v>125.14</v>
      </c>
      <c r="K4" s="96" t="s">
        <v>1453</v>
      </c>
      <c r="L4" s="1002"/>
    </row>
    <row r="5" spans="1:12" ht="141.75">
      <c r="A5" s="993"/>
      <c r="B5" s="76" t="s">
        <v>1449</v>
      </c>
      <c r="C5" s="74" t="s">
        <v>540</v>
      </c>
      <c r="D5" s="998"/>
      <c r="E5" s="993"/>
      <c r="F5" s="76" t="s">
        <v>1454</v>
      </c>
      <c r="G5" s="80" t="s">
        <v>1455</v>
      </c>
      <c r="H5" s="74">
        <v>31318</v>
      </c>
      <c r="I5" s="74" t="s">
        <v>1207</v>
      </c>
      <c r="J5" s="94">
        <v>21.87</v>
      </c>
      <c r="K5" s="96" t="s">
        <v>1456</v>
      </c>
      <c r="L5" s="1003"/>
    </row>
    <row r="6" spans="1:12" ht="141.75">
      <c r="A6" s="993"/>
      <c r="B6" s="76" t="s">
        <v>1449</v>
      </c>
      <c r="C6" s="74" t="s">
        <v>540</v>
      </c>
      <c r="D6" s="999"/>
      <c r="E6" s="993"/>
      <c r="F6" s="76" t="s">
        <v>1454</v>
      </c>
      <c r="G6" s="80" t="s">
        <v>817</v>
      </c>
      <c r="H6" s="74">
        <v>29220</v>
      </c>
      <c r="I6" s="74" t="s">
        <v>1207</v>
      </c>
      <c r="J6" s="94">
        <v>20.52</v>
      </c>
      <c r="K6" s="76" t="s">
        <v>1457</v>
      </c>
      <c r="L6" s="1004"/>
    </row>
    <row r="7" spans="1:12" ht="101.25">
      <c r="A7" s="993">
        <v>3</v>
      </c>
      <c r="B7" s="76" t="s">
        <v>1458</v>
      </c>
      <c r="C7" s="997" t="s">
        <v>1459</v>
      </c>
      <c r="D7" s="997" t="s">
        <v>1460</v>
      </c>
      <c r="E7" s="993" t="s">
        <v>1461</v>
      </c>
      <c r="F7" s="82" t="s">
        <v>1462</v>
      </c>
      <c r="G7" s="83" t="s">
        <v>1463</v>
      </c>
      <c r="H7" s="84">
        <v>46360</v>
      </c>
      <c r="I7" s="78" t="s">
        <v>1207</v>
      </c>
      <c r="J7" s="94">
        <v>31.83</v>
      </c>
      <c r="K7" s="96" t="s">
        <v>1464</v>
      </c>
      <c r="L7" s="1002"/>
    </row>
    <row r="8" spans="1:12" ht="121.5">
      <c r="A8" s="993"/>
      <c r="B8" s="76" t="s">
        <v>1458</v>
      </c>
      <c r="C8" s="999"/>
      <c r="D8" s="1000"/>
      <c r="E8" s="993"/>
      <c r="F8" s="76" t="s">
        <v>1465</v>
      </c>
      <c r="G8" s="80" t="s">
        <v>1466</v>
      </c>
      <c r="H8" s="74">
        <v>310</v>
      </c>
      <c r="I8" s="74" t="s">
        <v>1207</v>
      </c>
      <c r="J8" s="94">
        <v>0.21</v>
      </c>
      <c r="K8" s="96" t="s">
        <v>1467</v>
      </c>
      <c r="L8" s="1004"/>
    </row>
    <row r="9" spans="1:12" ht="141.75">
      <c r="A9" s="993">
        <v>4</v>
      </c>
      <c r="B9" s="76" t="s">
        <v>1468</v>
      </c>
      <c r="C9" s="74" t="s">
        <v>1469</v>
      </c>
      <c r="D9" s="997" t="s">
        <v>1470</v>
      </c>
      <c r="E9" s="993" t="s">
        <v>1471</v>
      </c>
      <c r="F9" s="82" t="s">
        <v>1472</v>
      </c>
      <c r="G9" s="86" t="s">
        <v>1473</v>
      </c>
      <c r="I9" s="78" t="s">
        <v>1207</v>
      </c>
      <c r="J9" s="94">
        <v>28.06</v>
      </c>
      <c r="K9" s="96" t="s">
        <v>1474</v>
      </c>
      <c r="L9" s="97">
        <v>40961.620000000003</v>
      </c>
    </row>
    <row r="10" spans="1:12" ht="121.5">
      <c r="A10" s="993"/>
      <c r="B10" s="76" t="s">
        <v>1468</v>
      </c>
      <c r="C10" s="74" t="s">
        <v>1469</v>
      </c>
      <c r="D10" s="999"/>
      <c r="E10" s="993"/>
      <c r="F10" s="76" t="s">
        <v>1475</v>
      </c>
      <c r="G10" s="80" t="s">
        <v>874</v>
      </c>
      <c r="I10" s="74" t="s">
        <v>1207</v>
      </c>
      <c r="J10" s="94">
        <v>4.34</v>
      </c>
      <c r="K10" s="96" t="s">
        <v>1476</v>
      </c>
      <c r="L10" s="95">
        <v>6211.62</v>
      </c>
    </row>
    <row r="11" spans="1:12" ht="81">
      <c r="A11" s="994">
        <v>5</v>
      </c>
      <c r="B11" s="76" t="s">
        <v>1477</v>
      </c>
      <c r="C11" s="997" t="s">
        <v>459</v>
      </c>
      <c r="D11" s="997" t="s">
        <v>1478</v>
      </c>
      <c r="E11" s="994" t="s">
        <v>1479</v>
      </c>
      <c r="F11" s="76" t="s">
        <v>1480</v>
      </c>
      <c r="G11" s="80" t="s">
        <v>1481</v>
      </c>
      <c r="H11" s="74">
        <v>49985</v>
      </c>
      <c r="I11" s="74" t="s">
        <v>1207</v>
      </c>
      <c r="J11" s="94">
        <v>34.29</v>
      </c>
      <c r="K11" s="76" t="s">
        <v>1482</v>
      </c>
      <c r="L11" s="74"/>
    </row>
    <row r="12" spans="1:12" ht="81">
      <c r="A12" s="995"/>
      <c r="B12" s="76" t="s">
        <v>1477</v>
      </c>
      <c r="C12" s="998"/>
      <c r="D12" s="998"/>
      <c r="E12" s="995"/>
      <c r="F12" s="76" t="s">
        <v>1480</v>
      </c>
      <c r="G12" s="80" t="s">
        <v>1481</v>
      </c>
      <c r="H12" s="74">
        <v>19985</v>
      </c>
      <c r="I12" s="74" t="s">
        <v>1207</v>
      </c>
      <c r="J12" s="94">
        <v>13.68</v>
      </c>
      <c r="K12" s="76" t="s">
        <v>1483</v>
      </c>
      <c r="L12" s="74"/>
    </row>
    <row r="13" spans="1:12" ht="81">
      <c r="A13" s="995"/>
      <c r="B13" s="76" t="s">
        <v>1477</v>
      </c>
      <c r="C13" s="998"/>
      <c r="D13" s="998"/>
      <c r="E13" s="995"/>
      <c r="F13" s="76" t="s">
        <v>1480</v>
      </c>
      <c r="G13" s="77">
        <v>43665</v>
      </c>
      <c r="H13" s="74">
        <v>29985</v>
      </c>
      <c r="I13" s="74" t="s">
        <v>1207</v>
      </c>
      <c r="J13" s="94">
        <v>20.58</v>
      </c>
      <c r="K13" s="76" t="s">
        <v>1484</v>
      </c>
      <c r="L13" s="74"/>
    </row>
    <row r="14" spans="1:12" ht="81">
      <c r="A14" s="996"/>
      <c r="B14" s="76" t="s">
        <v>1477</v>
      </c>
      <c r="C14" s="999"/>
      <c r="D14" s="999"/>
      <c r="E14" s="996"/>
      <c r="F14" s="76" t="s">
        <v>1480</v>
      </c>
      <c r="G14" s="77">
        <v>43760</v>
      </c>
      <c r="H14" s="79">
        <v>19985</v>
      </c>
      <c r="I14" s="74" t="s">
        <v>1207</v>
      </c>
      <c r="J14" s="94">
        <v>14.09</v>
      </c>
      <c r="K14" s="76" t="s">
        <v>1485</v>
      </c>
      <c r="L14" s="74"/>
    </row>
    <row r="15" spans="1:12" ht="162">
      <c r="A15" s="75">
        <v>6</v>
      </c>
      <c r="B15" s="76" t="s">
        <v>1486</v>
      </c>
      <c r="C15" s="74" t="s">
        <v>470</v>
      </c>
      <c r="D15" s="76" t="s">
        <v>1487</v>
      </c>
      <c r="E15" s="75" t="s">
        <v>1488</v>
      </c>
      <c r="F15" s="76" t="s">
        <v>1489</v>
      </c>
      <c r="G15" s="80" t="s">
        <v>919</v>
      </c>
      <c r="H15" s="74">
        <v>39018</v>
      </c>
      <c r="I15" s="74" t="s">
        <v>1207</v>
      </c>
      <c r="J15" s="94">
        <v>27.36</v>
      </c>
      <c r="K15" s="76" t="s">
        <v>1490</v>
      </c>
      <c r="L15" s="74"/>
    </row>
    <row r="16" spans="1:12" ht="141.75">
      <c r="A16" s="994">
        <v>7</v>
      </c>
      <c r="B16" s="76" t="s">
        <v>1491</v>
      </c>
      <c r="C16" s="997" t="s">
        <v>1492</v>
      </c>
      <c r="D16" s="997" t="s">
        <v>1493</v>
      </c>
      <c r="E16" s="994" t="s">
        <v>1494</v>
      </c>
      <c r="F16" s="76" t="s">
        <v>1495</v>
      </c>
      <c r="G16" s="80" t="s">
        <v>919</v>
      </c>
      <c r="H16" s="74">
        <v>22400</v>
      </c>
      <c r="I16" s="74" t="s">
        <v>1207</v>
      </c>
      <c r="J16" s="94">
        <v>15.7</v>
      </c>
      <c r="K16" s="76" t="s">
        <v>1496</v>
      </c>
      <c r="L16" s="74"/>
    </row>
    <row r="17" spans="1:12" ht="141.75">
      <c r="A17" s="996"/>
      <c r="B17" s="76" t="s">
        <v>1491</v>
      </c>
      <c r="C17" s="999"/>
      <c r="D17" s="1000"/>
      <c r="E17" s="996"/>
      <c r="F17" s="76" t="s">
        <v>1495</v>
      </c>
      <c r="G17" s="80" t="s">
        <v>838</v>
      </c>
      <c r="H17" s="74">
        <v>33600</v>
      </c>
      <c r="I17" s="74" t="s">
        <v>1207</v>
      </c>
      <c r="J17" s="94">
        <v>23.87</v>
      </c>
      <c r="K17" s="76" t="s">
        <v>1497</v>
      </c>
      <c r="L17" s="74"/>
    </row>
    <row r="18" spans="1:12" ht="101.25">
      <c r="A18" s="75">
        <v>8</v>
      </c>
      <c r="B18" s="76" t="s">
        <v>1498</v>
      </c>
      <c r="C18" s="74" t="s">
        <v>1499</v>
      </c>
      <c r="D18" s="76" t="s">
        <v>1500</v>
      </c>
      <c r="E18" s="88" t="s">
        <v>1501</v>
      </c>
      <c r="F18" s="76" t="s">
        <v>1502</v>
      </c>
      <c r="G18" s="80" t="s">
        <v>1503</v>
      </c>
      <c r="H18" s="74">
        <v>2000</v>
      </c>
      <c r="I18" s="74" t="s">
        <v>1207</v>
      </c>
      <c r="J18" s="94">
        <v>1.38</v>
      </c>
      <c r="K18" s="76" t="s">
        <v>1504</v>
      </c>
      <c r="L18" s="74"/>
    </row>
    <row r="19" spans="1:12" ht="162">
      <c r="A19" s="993">
        <v>9</v>
      </c>
      <c r="B19" s="76" t="s">
        <v>1505</v>
      </c>
      <c r="C19" s="74" t="s">
        <v>470</v>
      </c>
      <c r="D19" s="997" t="s">
        <v>1506</v>
      </c>
      <c r="E19" s="994" t="s">
        <v>1507</v>
      </c>
      <c r="F19" s="76" t="s">
        <v>1508</v>
      </c>
      <c r="G19" s="77">
        <v>43756</v>
      </c>
      <c r="H19" s="74">
        <v>53955</v>
      </c>
      <c r="I19" s="74" t="s">
        <v>1207</v>
      </c>
      <c r="J19" s="94">
        <v>38.200000000000003</v>
      </c>
      <c r="K19" s="76" t="s">
        <v>1509</v>
      </c>
      <c r="L19" s="74"/>
    </row>
    <row r="20" spans="1:12" ht="182.25">
      <c r="A20" s="993"/>
      <c r="B20" s="76" t="s">
        <v>1505</v>
      </c>
      <c r="C20" s="74" t="s">
        <v>470</v>
      </c>
      <c r="D20" s="999"/>
      <c r="E20" s="996"/>
      <c r="F20" s="76" t="s">
        <v>1510</v>
      </c>
      <c r="G20" s="80" t="s">
        <v>1511</v>
      </c>
      <c r="H20" s="74">
        <v>14965</v>
      </c>
      <c r="I20" s="74" t="s">
        <v>1207</v>
      </c>
      <c r="J20" s="94">
        <v>10.45</v>
      </c>
      <c r="K20" s="76" t="s">
        <v>1512</v>
      </c>
      <c r="L20" s="74"/>
    </row>
    <row r="21" spans="1:12" ht="121.5">
      <c r="A21" s="993">
        <v>10</v>
      </c>
      <c r="B21" s="76" t="s">
        <v>1513</v>
      </c>
      <c r="C21" s="997" t="s">
        <v>1514</v>
      </c>
      <c r="D21" s="997" t="s">
        <v>1515</v>
      </c>
      <c r="E21" s="993" t="s">
        <v>1516</v>
      </c>
      <c r="F21" s="76" t="s">
        <v>1517</v>
      </c>
      <c r="G21" s="80" t="s">
        <v>1518</v>
      </c>
      <c r="H21" s="74">
        <v>66475</v>
      </c>
      <c r="I21" s="74" t="s">
        <v>1207</v>
      </c>
      <c r="J21" s="94">
        <v>47.19</v>
      </c>
      <c r="K21" s="76" t="s">
        <v>1519</v>
      </c>
      <c r="L21" s="74"/>
    </row>
    <row r="22" spans="1:12" ht="121.5">
      <c r="A22" s="993"/>
      <c r="B22" s="76" t="s">
        <v>1513</v>
      </c>
      <c r="C22" s="999"/>
      <c r="D22" s="999"/>
      <c r="E22" s="993"/>
      <c r="F22" s="76" t="s">
        <v>1517</v>
      </c>
      <c r="G22" s="80" t="s">
        <v>1520</v>
      </c>
      <c r="H22" s="74">
        <v>27875</v>
      </c>
      <c r="I22" s="74" t="s">
        <v>1207</v>
      </c>
      <c r="J22" s="94">
        <v>19.7</v>
      </c>
      <c r="K22" s="76" t="s">
        <v>1521</v>
      </c>
      <c r="L22" s="74"/>
    </row>
    <row r="23" spans="1:12" ht="101.25">
      <c r="A23" s="993">
        <v>11</v>
      </c>
      <c r="B23" s="76" t="s">
        <v>1522</v>
      </c>
      <c r="C23" s="997" t="s">
        <v>394</v>
      </c>
      <c r="D23" s="997" t="s">
        <v>1523</v>
      </c>
      <c r="E23" s="993" t="s">
        <v>1524</v>
      </c>
      <c r="F23" s="76" t="s">
        <v>1525</v>
      </c>
      <c r="G23" s="80" t="s">
        <v>838</v>
      </c>
      <c r="H23" s="74">
        <v>5579</v>
      </c>
      <c r="I23" s="74" t="s">
        <v>1207</v>
      </c>
      <c r="J23" s="94">
        <v>3.97</v>
      </c>
      <c r="K23" s="76" t="s">
        <v>1526</v>
      </c>
      <c r="L23" s="74"/>
    </row>
    <row r="24" spans="1:12" ht="101.25">
      <c r="A24" s="993"/>
      <c r="B24" s="76" t="s">
        <v>1522</v>
      </c>
      <c r="C24" s="999"/>
      <c r="D24" s="999"/>
      <c r="E24" s="993"/>
      <c r="F24" s="76" t="s">
        <v>1525</v>
      </c>
      <c r="G24" s="80" t="s">
        <v>1527</v>
      </c>
      <c r="H24" s="74">
        <v>51279</v>
      </c>
      <c r="I24" s="74" t="s">
        <v>1207</v>
      </c>
      <c r="J24" s="94">
        <v>36.14</v>
      </c>
      <c r="K24" s="76" t="s">
        <v>1528</v>
      </c>
      <c r="L24" s="74"/>
    </row>
    <row r="25" spans="1:12" ht="121.5">
      <c r="A25" s="995">
        <v>12</v>
      </c>
      <c r="B25" s="76" t="s">
        <v>1529</v>
      </c>
      <c r="C25" s="997" t="s">
        <v>441</v>
      </c>
      <c r="D25" s="997" t="s">
        <v>1530</v>
      </c>
      <c r="E25" s="995" t="s">
        <v>1531</v>
      </c>
      <c r="F25" s="76" t="s">
        <v>1532</v>
      </c>
      <c r="G25" s="80" t="s">
        <v>1520</v>
      </c>
      <c r="H25" s="74">
        <v>20950</v>
      </c>
      <c r="I25" s="74" t="s">
        <v>1207</v>
      </c>
      <c r="J25" s="94">
        <v>14.81</v>
      </c>
      <c r="K25" s="76" t="s">
        <v>1533</v>
      </c>
      <c r="L25" s="74"/>
    </row>
    <row r="26" spans="1:12" ht="121.5">
      <c r="A26" s="995"/>
      <c r="B26" s="76" t="s">
        <v>1529</v>
      </c>
      <c r="C26" s="999"/>
      <c r="D26" s="999"/>
      <c r="E26" s="995"/>
      <c r="F26" s="82" t="s">
        <v>1532</v>
      </c>
      <c r="G26" s="86" t="s">
        <v>838</v>
      </c>
      <c r="H26" s="78">
        <v>52790</v>
      </c>
      <c r="I26" s="78" t="s">
        <v>1207</v>
      </c>
      <c r="J26" s="94">
        <v>37.549999999999997</v>
      </c>
      <c r="K26" s="76" t="s">
        <v>1534</v>
      </c>
      <c r="L26" s="74"/>
    </row>
    <row r="27" spans="1:12" ht="121.5">
      <c r="A27" s="75">
        <v>13</v>
      </c>
      <c r="B27" s="76" t="s">
        <v>1535</v>
      </c>
      <c r="C27" s="74" t="s">
        <v>1514</v>
      </c>
      <c r="D27" s="76" t="s">
        <v>1536</v>
      </c>
      <c r="E27" s="75" t="s">
        <v>1537</v>
      </c>
      <c r="F27" s="76" t="s">
        <v>1517</v>
      </c>
      <c r="G27" s="80" t="s">
        <v>1455</v>
      </c>
      <c r="H27" s="74">
        <v>76975</v>
      </c>
      <c r="I27" s="74" t="s">
        <v>1207</v>
      </c>
      <c r="J27" s="94">
        <v>53.71</v>
      </c>
      <c r="K27" s="76" t="s">
        <v>1538</v>
      </c>
      <c r="L27" s="74"/>
    </row>
    <row r="28" spans="1:12" ht="101.25">
      <c r="A28" s="75">
        <v>14</v>
      </c>
      <c r="B28" s="76" t="s">
        <v>1522</v>
      </c>
      <c r="C28" s="74" t="s">
        <v>394</v>
      </c>
      <c r="D28" s="76" t="s">
        <v>1539</v>
      </c>
      <c r="E28" s="75" t="s">
        <v>1540</v>
      </c>
      <c r="F28" s="76" t="s">
        <v>1525</v>
      </c>
      <c r="G28" s="80" t="s">
        <v>802</v>
      </c>
      <c r="H28" s="74">
        <v>98979</v>
      </c>
      <c r="I28" s="74" t="s">
        <v>1207</v>
      </c>
      <c r="J28" s="94">
        <v>69.209999999999994</v>
      </c>
      <c r="K28" s="76" t="s">
        <v>1541</v>
      </c>
      <c r="L28" s="74"/>
    </row>
    <row r="29" spans="1:12" ht="81">
      <c r="A29" s="993">
        <v>15</v>
      </c>
      <c r="B29" s="76" t="s">
        <v>1477</v>
      </c>
      <c r="C29" s="74" t="s">
        <v>459</v>
      </c>
      <c r="D29" s="997" t="s">
        <v>1542</v>
      </c>
      <c r="E29" s="993" t="s">
        <v>1543</v>
      </c>
      <c r="F29" s="76" t="s">
        <v>1480</v>
      </c>
      <c r="G29" s="80" t="s">
        <v>1455</v>
      </c>
      <c r="H29" s="79">
        <v>75985</v>
      </c>
      <c r="I29" s="74" t="s">
        <v>1207</v>
      </c>
      <c r="J29" s="94">
        <v>53.26</v>
      </c>
      <c r="K29" s="76" t="s">
        <v>1544</v>
      </c>
      <c r="L29" s="74"/>
    </row>
    <row r="30" spans="1:12" ht="81">
      <c r="A30" s="993"/>
      <c r="B30" s="76" t="s">
        <v>1477</v>
      </c>
      <c r="C30" s="74" t="s">
        <v>459</v>
      </c>
      <c r="D30" s="998"/>
      <c r="E30" s="993"/>
      <c r="F30" s="76" t="s">
        <v>1480</v>
      </c>
      <c r="G30" s="80" t="s">
        <v>1455</v>
      </c>
      <c r="H30" s="79">
        <v>26915</v>
      </c>
      <c r="I30" s="74" t="s">
        <v>1207</v>
      </c>
      <c r="J30" s="94">
        <v>18.86</v>
      </c>
      <c r="K30" s="76" t="s">
        <v>1545</v>
      </c>
      <c r="L30" s="74"/>
    </row>
    <row r="31" spans="1:12" ht="81">
      <c r="A31" s="993"/>
      <c r="B31" s="76" t="s">
        <v>1477</v>
      </c>
      <c r="C31" s="74" t="s">
        <v>459</v>
      </c>
      <c r="D31" s="999"/>
      <c r="E31" s="993"/>
      <c r="F31" s="76" t="s">
        <v>1480</v>
      </c>
      <c r="G31" s="80" t="s">
        <v>1520</v>
      </c>
      <c r="H31" s="74">
        <v>19985</v>
      </c>
      <c r="I31" s="74" t="s">
        <v>1207</v>
      </c>
      <c r="J31" s="94">
        <v>14.13</v>
      </c>
      <c r="K31" s="76" t="s">
        <v>1546</v>
      </c>
      <c r="L31" s="74"/>
    </row>
    <row r="32" spans="1:12" ht="121.5">
      <c r="A32" s="993">
        <v>16</v>
      </c>
      <c r="B32" s="76" t="s">
        <v>1529</v>
      </c>
      <c r="C32" s="74" t="s">
        <v>441</v>
      </c>
      <c r="D32" s="997" t="s">
        <v>1547</v>
      </c>
      <c r="E32" s="993" t="s">
        <v>1548</v>
      </c>
      <c r="F32" s="76" t="s">
        <v>1532</v>
      </c>
      <c r="G32" s="89" t="s">
        <v>1549</v>
      </c>
      <c r="H32" s="79">
        <v>48950</v>
      </c>
      <c r="I32" s="74" t="s">
        <v>1207</v>
      </c>
      <c r="J32" s="94">
        <v>34.67</v>
      </c>
      <c r="K32" s="76" t="s">
        <v>1550</v>
      </c>
      <c r="L32" s="74"/>
    </row>
    <row r="33" spans="1:12" ht="101.25">
      <c r="A33" s="993"/>
      <c r="B33" s="76" t="s">
        <v>1529</v>
      </c>
      <c r="C33" s="74" t="s">
        <v>441</v>
      </c>
      <c r="D33" s="998"/>
      <c r="E33" s="993"/>
      <c r="F33" s="76" t="s">
        <v>1551</v>
      </c>
      <c r="G33" s="80" t="s">
        <v>1552</v>
      </c>
      <c r="H33" s="74">
        <v>41935</v>
      </c>
      <c r="I33" s="74" t="s">
        <v>1207</v>
      </c>
      <c r="J33" s="94">
        <v>29.64</v>
      </c>
      <c r="K33" s="76" t="s">
        <v>1553</v>
      </c>
      <c r="L33" s="74"/>
    </row>
    <row r="34" spans="1:12" ht="121.5">
      <c r="A34" s="993"/>
      <c r="B34" s="76" t="s">
        <v>1529</v>
      </c>
      <c r="C34" s="74" t="s">
        <v>441</v>
      </c>
      <c r="D34" s="998"/>
      <c r="E34" s="993"/>
      <c r="F34" s="76" t="s">
        <v>1532</v>
      </c>
      <c r="G34" s="80" t="s">
        <v>874</v>
      </c>
      <c r="H34" s="74">
        <v>18100</v>
      </c>
      <c r="I34" s="74" t="s">
        <v>1207</v>
      </c>
      <c r="J34" s="94">
        <v>12.67</v>
      </c>
      <c r="K34" s="76" t="s">
        <v>1554</v>
      </c>
      <c r="L34" s="74"/>
    </row>
    <row r="35" spans="1:12" ht="121.5">
      <c r="A35" s="993"/>
      <c r="B35" s="76" t="s">
        <v>1529</v>
      </c>
      <c r="C35" s="74" t="s">
        <v>441</v>
      </c>
      <c r="D35" s="999"/>
      <c r="E35" s="993"/>
      <c r="F35" s="76" t="s">
        <v>1532</v>
      </c>
      <c r="G35" s="80" t="s">
        <v>1555</v>
      </c>
      <c r="H35" s="74">
        <v>18100</v>
      </c>
      <c r="I35" s="74" t="s">
        <v>1207</v>
      </c>
      <c r="J35" s="94">
        <v>12.69</v>
      </c>
      <c r="K35" s="76" t="s">
        <v>1556</v>
      </c>
      <c r="L35" s="74"/>
    </row>
    <row r="36" spans="1:12" ht="121.5">
      <c r="A36" s="993">
        <v>17</v>
      </c>
      <c r="B36" s="76" t="s">
        <v>1557</v>
      </c>
      <c r="C36" s="74" t="s">
        <v>394</v>
      </c>
      <c r="D36" s="997" t="s">
        <v>1558</v>
      </c>
      <c r="E36" s="993" t="s">
        <v>1559</v>
      </c>
      <c r="F36" s="76" t="s">
        <v>1560</v>
      </c>
      <c r="G36" s="80" t="s">
        <v>1549</v>
      </c>
      <c r="H36" s="74">
        <v>13479</v>
      </c>
      <c r="I36" s="74" t="s">
        <v>1207</v>
      </c>
      <c r="J36" s="94">
        <v>9.5399999999999991</v>
      </c>
      <c r="K36" s="76" t="s">
        <v>1561</v>
      </c>
      <c r="L36" s="74"/>
    </row>
    <row r="37" spans="1:12" ht="121.5">
      <c r="A37" s="993"/>
      <c r="B37" s="76" t="s">
        <v>1557</v>
      </c>
      <c r="C37" s="74" t="s">
        <v>394</v>
      </c>
      <c r="D37" s="998"/>
      <c r="E37" s="993"/>
      <c r="F37" s="76" t="s">
        <v>1560</v>
      </c>
      <c r="G37" s="80" t="s">
        <v>1562</v>
      </c>
      <c r="H37" s="74">
        <v>4541</v>
      </c>
      <c r="I37" s="74" t="s">
        <v>1207</v>
      </c>
      <c r="J37" s="94">
        <v>3.2</v>
      </c>
      <c r="K37" s="76" t="s">
        <v>1563</v>
      </c>
      <c r="L37" s="74"/>
    </row>
    <row r="38" spans="1:12" ht="121.5">
      <c r="A38" s="993"/>
      <c r="B38" s="76" t="s">
        <v>1557</v>
      </c>
      <c r="C38" s="74" t="s">
        <v>394</v>
      </c>
      <c r="D38" s="998"/>
      <c r="E38" s="993"/>
      <c r="F38" s="76" t="s">
        <v>1560</v>
      </c>
      <c r="G38" s="77">
        <v>43778</v>
      </c>
      <c r="H38" s="74">
        <v>5159</v>
      </c>
      <c r="I38" s="74" t="s">
        <v>1207</v>
      </c>
      <c r="J38" s="94">
        <v>3.59</v>
      </c>
      <c r="K38" s="76" t="s">
        <v>1564</v>
      </c>
      <c r="L38" s="74"/>
    </row>
    <row r="39" spans="1:12" ht="121.5">
      <c r="A39" s="993"/>
      <c r="B39" s="76" t="s">
        <v>1557</v>
      </c>
      <c r="C39" s="74" t="s">
        <v>394</v>
      </c>
      <c r="D39" s="999"/>
      <c r="E39" s="993"/>
      <c r="F39" s="76" t="s">
        <v>1560</v>
      </c>
      <c r="G39" s="80" t="s">
        <v>1565</v>
      </c>
      <c r="H39" s="74">
        <v>32379</v>
      </c>
      <c r="I39" s="74" t="s">
        <v>1207</v>
      </c>
      <c r="J39" s="94">
        <v>22.59</v>
      </c>
      <c r="K39" s="76" t="s">
        <v>1566</v>
      </c>
      <c r="L39" s="74"/>
    </row>
    <row r="40" spans="1:12" ht="121.5">
      <c r="A40" s="993">
        <v>18</v>
      </c>
      <c r="B40" s="76" t="s">
        <v>1567</v>
      </c>
      <c r="C40" s="74" t="s">
        <v>383</v>
      </c>
      <c r="D40" s="997" t="s">
        <v>1568</v>
      </c>
      <c r="E40" s="993" t="s">
        <v>1569</v>
      </c>
      <c r="F40" s="76" t="s">
        <v>1570</v>
      </c>
      <c r="G40" s="80">
        <v>43733</v>
      </c>
      <c r="H40" s="74">
        <v>11475</v>
      </c>
      <c r="I40" s="74" t="s">
        <v>1207</v>
      </c>
      <c r="J40" s="94">
        <v>8.11</v>
      </c>
      <c r="K40" s="76" t="s">
        <v>1571</v>
      </c>
      <c r="L40" s="74"/>
    </row>
    <row r="41" spans="1:12" ht="121.5">
      <c r="A41" s="993"/>
      <c r="B41" s="76" t="s">
        <v>1567</v>
      </c>
      <c r="C41" s="74" t="s">
        <v>383</v>
      </c>
      <c r="D41" s="998"/>
      <c r="E41" s="993"/>
      <c r="F41" s="76" t="s">
        <v>1570</v>
      </c>
      <c r="G41" s="80" t="s">
        <v>838</v>
      </c>
      <c r="H41" s="74">
        <v>5475</v>
      </c>
      <c r="I41" s="74" t="s">
        <v>1207</v>
      </c>
      <c r="J41" s="94">
        <v>3.9</v>
      </c>
      <c r="K41" s="76" t="s">
        <v>1572</v>
      </c>
      <c r="L41" s="74"/>
    </row>
    <row r="42" spans="1:12" ht="121.5">
      <c r="A42" s="993"/>
      <c r="B42" s="76" t="s">
        <v>1567</v>
      </c>
      <c r="C42" s="74" t="s">
        <v>383</v>
      </c>
      <c r="D42" s="999"/>
      <c r="E42" s="993"/>
      <c r="F42" s="76" t="s">
        <v>1570</v>
      </c>
      <c r="G42" s="80" t="s">
        <v>1511</v>
      </c>
      <c r="H42" s="74">
        <v>39470</v>
      </c>
      <c r="I42" s="74" t="s">
        <v>1207</v>
      </c>
      <c r="J42" s="94">
        <v>27.57</v>
      </c>
      <c r="K42" s="76" t="s">
        <v>1573</v>
      </c>
      <c r="L42" s="74"/>
    </row>
    <row r="43" spans="1:12" ht="121.5">
      <c r="A43" s="75">
        <v>19</v>
      </c>
      <c r="B43" s="76" t="s">
        <v>1574</v>
      </c>
      <c r="C43" s="74" t="s">
        <v>456</v>
      </c>
      <c r="D43" s="76" t="s">
        <v>1575</v>
      </c>
      <c r="E43" s="75" t="s">
        <v>1576</v>
      </c>
      <c r="F43" s="76" t="s">
        <v>1577</v>
      </c>
      <c r="G43" s="90" t="s">
        <v>1555</v>
      </c>
      <c r="I43" s="74" t="s">
        <v>1207</v>
      </c>
      <c r="J43" s="94">
        <v>16.59</v>
      </c>
      <c r="K43" s="76" t="s">
        <v>1578</v>
      </c>
      <c r="L43" s="98">
        <v>23665</v>
      </c>
    </row>
    <row r="44" spans="1:12" ht="101.25">
      <c r="A44" s="994">
        <v>20</v>
      </c>
      <c r="B44" s="76" t="s">
        <v>1522</v>
      </c>
      <c r="C44" s="74" t="s">
        <v>394</v>
      </c>
      <c r="D44" s="997" t="s">
        <v>1579</v>
      </c>
      <c r="E44" s="994" t="s">
        <v>1580</v>
      </c>
      <c r="F44" s="76" t="s">
        <v>1525</v>
      </c>
      <c r="G44" s="90" t="s">
        <v>1565</v>
      </c>
      <c r="H44" s="74">
        <v>4927</v>
      </c>
      <c r="I44" s="74" t="s">
        <v>1207</v>
      </c>
      <c r="J44" s="94">
        <v>3.43</v>
      </c>
      <c r="K44" s="76" t="s">
        <v>1581</v>
      </c>
      <c r="L44" s="74"/>
    </row>
    <row r="45" spans="1:12" ht="101.25">
      <c r="A45" s="995"/>
      <c r="B45" s="76" t="s">
        <v>1522</v>
      </c>
      <c r="C45" s="74" t="s">
        <v>394</v>
      </c>
      <c r="D45" s="998"/>
      <c r="E45" s="995"/>
      <c r="F45" s="76" t="s">
        <v>1582</v>
      </c>
      <c r="G45" s="77">
        <v>43805</v>
      </c>
      <c r="H45" s="74">
        <v>6579</v>
      </c>
      <c r="I45" s="74" t="s">
        <v>1207</v>
      </c>
      <c r="J45" s="94">
        <v>4.62</v>
      </c>
      <c r="K45" s="76" t="s">
        <v>1583</v>
      </c>
      <c r="L45" s="74"/>
    </row>
    <row r="46" spans="1:12" ht="101.25">
      <c r="A46" s="995"/>
      <c r="B46" s="76" t="s">
        <v>1522</v>
      </c>
      <c r="C46" s="74" t="s">
        <v>394</v>
      </c>
      <c r="D46" s="999"/>
      <c r="E46" s="995"/>
      <c r="F46" s="76" t="s">
        <v>1582</v>
      </c>
      <c r="G46" s="90" t="s">
        <v>1511</v>
      </c>
      <c r="H46" s="74">
        <v>51544</v>
      </c>
      <c r="I46" s="74" t="s">
        <v>1207</v>
      </c>
      <c r="J46" s="94">
        <v>36.03</v>
      </c>
      <c r="K46" s="76" t="s">
        <v>1584</v>
      </c>
      <c r="L46" s="74"/>
    </row>
    <row r="47" spans="1:12" ht="81">
      <c r="A47" s="87">
        <v>21</v>
      </c>
      <c r="B47" s="76" t="s">
        <v>1477</v>
      </c>
      <c r="C47" s="74" t="s">
        <v>459</v>
      </c>
      <c r="D47" s="76" t="s">
        <v>1585</v>
      </c>
      <c r="E47" s="87" t="s">
        <v>1586</v>
      </c>
      <c r="F47" s="76" t="s">
        <v>1480</v>
      </c>
      <c r="G47" s="90" t="s">
        <v>1455</v>
      </c>
      <c r="H47" s="74">
        <v>49985</v>
      </c>
      <c r="I47" s="74" t="s">
        <v>1207</v>
      </c>
      <c r="J47" s="94">
        <v>35.03</v>
      </c>
      <c r="K47" s="76" t="s">
        <v>1587</v>
      </c>
      <c r="L47" s="74"/>
    </row>
    <row r="48" spans="1:12" ht="101.25">
      <c r="A48" s="87">
        <v>22</v>
      </c>
      <c r="B48" s="76" t="s">
        <v>1588</v>
      </c>
      <c r="C48" s="74" t="s">
        <v>1589</v>
      </c>
      <c r="D48" s="76" t="s">
        <v>1590</v>
      </c>
      <c r="E48" s="87" t="s">
        <v>1591</v>
      </c>
      <c r="F48" s="76" t="s">
        <v>1592</v>
      </c>
      <c r="G48" s="90" t="s">
        <v>1562</v>
      </c>
      <c r="H48" s="74">
        <v>147150</v>
      </c>
      <c r="I48" s="74" t="s">
        <v>1358</v>
      </c>
      <c r="J48" s="94">
        <v>115.25</v>
      </c>
      <c r="K48" s="76" t="s">
        <v>1593</v>
      </c>
      <c r="L48" s="74"/>
    </row>
    <row r="49" spans="1:12" ht="121.5">
      <c r="A49" s="75">
        <v>23</v>
      </c>
      <c r="B49" s="76" t="s">
        <v>1594</v>
      </c>
      <c r="C49" s="74" t="s">
        <v>456</v>
      </c>
      <c r="D49" s="76" t="s">
        <v>1595</v>
      </c>
      <c r="E49" s="75" t="s">
        <v>1596</v>
      </c>
      <c r="F49" s="76" t="s">
        <v>1597</v>
      </c>
      <c r="G49" s="90" t="s">
        <v>870</v>
      </c>
      <c r="H49" s="79">
        <v>59684</v>
      </c>
      <c r="I49" s="74" t="s">
        <v>1207</v>
      </c>
      <c r="J49" s="94">
        <v>41.88</v>
      </c>
      <c r="K49" s="76" t="s">
        <v>1598</v>
      </c>
      <c r="L49" s="74"/>
    </row>
    <row r="50" spans="1:12" ht="121.5">
      <c r="A50" s="993">
        <v>24</v>
      </c>
      <c r="B50" s="76" t="s">
        <v>1535</v>
      </c>
      <c r="C50" s="997" t="s">
        <v>1514</v>
      </c>
      <c r="D50" s="997" t="s">
        <v>1599</v>
      </c>
      <c r="E50" s="993" t="s">
        <v>1600</v>
      </c>
      <c r="F50" s="85" t="s">
        <v>1517</v>
      </c>
      <c r="G50" s="91" t="s">
        <v>817</v>
      </c>
      <c r="H50" s="81">
        <v>465</v>
      </c>
      <c r="I50" s="81" t="s">
        <v>1207</v>
      </c>
      <c r="J50" s="94">
        <v>0.32</v>
      </c>
      <c r="K50" s="85" t="s">
        <v>1601</v>
      </c>
      <c r="L50" s="74"/>
    </row>
    <row r="51" spans="1:12" ht="121.5">
      <c r="A51" s="993"/>
      <c r="B51" s="76" t="s">
        <v>1535</v>
      </c>
      <c r="C51" s="999"/>
      <c r="D51" s="1000"/>
      <c r="E51" s="993"/>
      <c r="F51" s="76" t="s">
        <v>1602</v>
      </c>
      <c r="G51" s="80" t="s">
        <v>1603</v>
      </c>
      <c r="H51" s="74">
        <v>20359</v>
      </c>
      <c r="I51" s="74" t="s">
        <v>1207</v>
      </c>
      <c r="J51" s="94">
        <v>14.29</v>
      </c>
      <c r="K51" s="76" t="s">
        <v>1604</v>
      </c>
      <c r="L51" s="74"/>
    </row>
    <row r="52" spans="1:12" ht="121.5">
      <c r="A52" s="75">
        <v>25</v>
      </c>
      <c r="B52" s="76" t="s">
        <v>1605</v>
      </c>
      <c r="C52" s="74" t="s">
        <v>1514</v>
      </c>
      <c r="D52" s="76" t="s">
        <v>1606</v>
      </c>
      <c r="E52" s="75" t="s">
        <v>1607</v>
      </c>
      <c r="F52" s="76" t="s">
        <v>1517</v>
      </c>
      <c r="G52" s="80" t="s">
        <v>1549</v>
      </c>
      <c r="H52" s="74">
        <v>65075</v>
      </c>
      <c r="I52" s="74" t="s">
        <v>1207</v>
      </c>
      <c r="J52" s="94">
        <v>46.09</v>
      </c>
      <c r="K52" s="76" t="s">
        <v>1608</v>
      </c>
      <c r="L52" s="74"/>
    </row>
    <row r="53" spans="1:12" ht="141.75">
      <c r="A53" s="75">
        <v>26</v>
      </c>
      <c r="B53" s="76" t="s">
        <v>1609</v>
      </c>
      <c r="C53" s="74" t="s">
        <v>411</v>
      </c>
      <c r="D53" s="76" t="s">
        <v>1610</v>
      </c>
      <c r="E53" s="75" t="s">
        <v>1611</v>
      </c>
      <c r="F53" s="76" t="s">
        <v>1612</v>
      </c>
      <c r="G53" s="80" t="s">
        <v>1613</v>
      </c>
      <c r="H53" s="74">
        <v>92185</v>
      </c>
      <c r="I53" s="74" t="s">
        <v>1207</v>
      </c>
      <c r="J53" s="94">
        <v>64.64</v>
      </c>
      <c r="K53" s="76" t="s">
        <v>1614</v>
      </c>
      <c r="L53" s="74"/>
    </row>
    <row r="54" spans="1:12" ht="81">
      <c r="A54" s="993">
        <v>27</v>
      </c>
      <c r="B54" s="76" t="s">
        <v>1477</v>
      </c>
      <c r="C54" s="997" t="s">
        <v>459</v>
      </c>
      <c r="D54" s="997" t="s">
        <v>1615</v>
      </c>
      <c r="E54" s="993" t="s">
        <v>1616</v>
      </c>
      <c r="F54" s="76" t="s">
        <v>1617</v>
      </c>
      <c r="G54" s="91" t="s">
        <v>1618</v>
      </c>
      <c r="H54" s="81">
        <v>70000</v>
      </c>
      <c r="I54" s="81" t="s">
        <v>1207</v>
      </c>
      <c r="J54" s="94">
        <v>49.11</v>
      </c>
      <c r="K54" s="76" t="s">
        <v>1619</v>
      </c>
      <c r="L54" s="74"/>
    </row>
    <row r="55" spans="1:12" ht="81">
      <c r="A55" s="993"/>
      <c r="B55" s="76" t="s">
        <v>1477</v>
      </c>
      <c r="C55" s="998"/>
      <c r="D55" s="998"/>
      <c r="E55" s="993"/>
      <c r="F55" s="76" t="s">
        <v>1620</v>
      </c>
      <c r="G55" s="77">
        <v>43811</v>
      </c>
      <c r="H55" s="74">
        <v>70000</v>
      </c>
      <c r="I55" s="74" t="s">
        <v>1207</v>
      </c>
      <c r="J55" s="94">
        <v>49.14</v>
      </c>
      <c r="K55" s="76" t="s">
        <v>1621</v>
      </c>
      <c r="L55" s="74"/>
    </row>
    <row r="56" spans="1:12" ht="81">
      <c r="A56" s="993"/>
      <c r="B56" s="76" t="s">
        <v>1477</v>
      </c>
      <c r="C56" s="999"/>
      <c r="D56" s="999"/>
      <c r="E56" s="993"/>
      <c r="F56" s="76" t="s">
        <v>1480</v>
      </c>
      <c r="G56" s="90" t="s">
        <v>1552</v>
      </c>
      <c r="H56" s="79">
        <v>53585</v>
      </c>
      <c r="I56" s="74" t="s">
        <v>1207</v>
      </c>
      <c r="J56" s="94">
        <v>37.869999999999997</v>
      </c>
      <c r="K56" s="76" t="s">
        <v>1622</v>
      </c>
      <c r="L56" s="74"/>
    </row>
    <row r="57" spans="1:12" ht="101.25">
      <c r="A57" s="75">
        <v>28</v>
      </c>
      <c r="B57" s="76" t="s">
        <v>1623</v>
      </c>
      <c r="C57" s="74" t="s">
        <v>394</v>
      </c>
      <c r="D57" s="76" t="s">
        <v>1624</v>
      </c>
      <c r="E57" s="75" t="s">
        <v>1625</v>
      </c>
      <c r="F57" s="76" t="s">
        <v>1582</v>
      </c>
      <c r="G57" s="80" t="s">
        <v>1511</v>
      </c>
      <c r="H57" s="74">
        <v>44493</v>
      </c>
      <c r="I57" s="74" t="s">
        <v>1207</v>
      </c>
      <c r="J57" s="94">
        <v>31.09</v>
      </c>
      <c r="K57" s="76" t="s">
        <v>1626</v>
      </c>
      <c r="L57" s="74"/>
    </row>
    <row r="58" spans="1:12" ht="182.25">
      <c r="A58" s="993">
        <v>29</v>
      </c>
      <c r="B58" s="76" t="s">
        <v>1627</v>
      </c>
      <c r="C58" s="74" t="s">
        <v>1628</v>
      </c>
      <c r="D58" s="997" t="s">
        <v>1629</v>
      </c>
      <c r="E58" s="993" t="s">
        <v>1630</v>
      </c>
      <c r="F58" s="76" t="s">
        <v>1631</v>
      </c>
      <c r="G58" s="80" t="s">
        <v>1632</v>
      </c>
      <c r="H58" s="74">
        <v>33870</v>
      </c>
      <c r="I58" s="74" t="s">
        <v>1207</v>
      </c>
      <c r="J58" s="94">
        <v>24.01</v>
      </c>
      <c r="K58" s="76" t="s">
        <v>1633</v>
      </c>
      <c r="L58" s="1001"/>
    </row>
    <row r="59" spans="1:12" ht="162">
      <c r="A59" s="993"/>
      <c r="B59" s="76" t="s">
        <v>1627</v>
      </c>
      <c r="C59" s="74" t="s">
        <v>1628</v>
      </c>
      <c r="D59" s="1000"/>
      <c r="E59" s="993"/>
      <c r="F59" s="76" t="s">
        <v>1634</v>
      </c>
      <c r="G59" s="80" t="s">
        <v>914</v>
      </c>
      <c r="H59" s="74">
        <v>82965</v>
      </c>
      <c r="I59" s="74" t="s">
        <v>1207</v>
      </c>
      <c r="J59" s="94">
        <v>58.18</v>
      </c>
      <c r="K59" s="76" t="s">
        <v>1635</v>
      </c>
      <c r="L59" s="1001"/>
    </row>
    <row r="60" spans="1:12" ht="81">
      <c r="A60" s="993">
        <v>30</v>
      </c>
      <c r="B60" s="76" t="s">
        <v>1477</v>
      </c>
      <c r="C60" s="74" t="s">
        <v>459</v>
      </c>
      <c r="D60" s="997" t="s">
        <v>1636</v>
      </c>
      <c r="E60" s="993" t="s">
        <v>1637</v>
      </c>
      <c r="F60" s="76" t="s">
        <v>1638</v>
      </c>
      <c r="G60" s="80" t="s">
        <v>914</v>
      </c>
      <c r="H60" s="79">
        <v>68300</v>
      </c>
      <c r="I60" s="74" t="s">
        <v>1207</v>
      </c>
      <c r="J60" s="94">
        <v>47.68</v>
      </c>
      <c r="K60" s="76" t="s">
        <v>1639</v>
      </c>
      <c r="L60" s="74"/>
    </row>
    <row r="61" spans="1:12" ht="81">
      <c r="A61" s="993"/>
      <c r="B61" s="76" t="s">
        <v>1477</v>
      </c>
      <c r="C61" s="74" t="s">
        <v>459</v>
      </c>
      <c r="D61" s="998"/>
      <c r="E61" s="993"/>
      <c r="F61" s="76" t="s">
        <v>1640</v>
      </c>
      <c r="G61" s="80" t="s">
        <v>1641</v>
      </c>
      <c r="H61" s="79">
        <v>80000</v>
      </c>
      <c r="I61" s="74" t="s">
        <v>1207</v>
      </c>
      <c r="J61" s="94">
        <v>56.05</v>
      </c>
      <c r="K61" s="76" t="s">
        <v>1642</v>
      </c>
      <c r="L61" s="74"/>
    </row>
    <row r="62" spans="1:12" ht="81">
      <c r="A62" s="993"/>
      <c r="B62" s="76" t="s">
        <v>1477</v>
      </c>
      <c r="C62" s="74" t="s">
        <v>459</v>
      </c>
      <c r="D62" s="998"/>
      <c r="E62" s="993"/>
      <c r="F62" s="76" t="s">
        <v>1643</v>
      </c>
      <c r="G62" s="80" t="s">
        <v>1641</v>
      </c>
      <c r="H62" s="79">
        <v>17260</v>
      </c>
      <c r="I62" s="74" t="s">
        <v>1207</v>
      </c>
      <c r="J62" s="94">
        <v>12.09</v>
      </c>
      <c r="K62" s="76" t="s">
        <v>1644</v>
      </c>
      <c r="L62" s="74"/>
    </row>
    <row r="63" spans="1:12" ht="81">
      <c r="A63" s="993"/>
      <c r="B63" s="76" t="s">
        <v>1477</v>
      </c>
      <c r="C63" s="74" t="s">
        <v>459</v>
      </c>
      <c r="D63" s="999"/>
      <c r="E63" s="993"/>
      <c r="F63" s="76" t="s">
        <v>1645</v>
      </c>
      <c r="G63" s="80" t="s">
        <v>874</v>
      </c>
      <c r="H63" s="79">
        <v>80000</v>
      </c>
      <c r="I63" s="74" t="s">
        <v>1207</v>
      </c>
      <c r="J63" s="94">
        <v>56.02</v>
      </c>
      <c r="K63" s="76" t="s">
        <v>1646</v>
      </c>
      <c r="L63" s="74"/>
    </row>
    <row r="64" spans="1:12" ht="81">
      <c r="A64" s="75">
        <v>31</v>
      </c>
      <c r="B64" s="76" t="s">
        <v>1647</v>
      </c>
      <c r="C64" s="74" t="s">
        <v>1648</v>
      </c>
      <c r="D64" s="76" t="s">
        <v>1649</v>
      </c>
      <c r="E64" s="75" t="s">
        <v>1650</v>
      </c>
      <c r="F64" s="76" t="s">
        <v>1651</v>
      </c>
      <c r="G64" s="80" t="s">
        <v>874</v>
      </c>
      <c r="H64" s="74">
        <v>27985</v>
      </c>
      <c r="I64" s="74" t="s">
        <v>1207</v>
      </c>
      <c r="J64" s="94">
        <v>19.559999999999999</v>
      </c>
      <c r="K64" s="76" t="s">
        <v>1652</v>
      </c>
      <c r="L64" s="74"/>
    </row>
    <row r="65" spans="1:12" ht="101.25">
      <c r="A65" s="993">
        <v>32</v>
      </c>
      <c r="B65" s="76" t="s">
        <v>1653</v>
      </c>
      <c r="C65" s="74" t="s">
        <v>1321</v>
      </c>
      <c r="D65" s="997" t="s">
        <v>1654</v>
      </c>
      <c r="E65" s="993" t="s">
        <v>1655</v>
      </c>
      <c r="F65" s="76" t="s">
        <v>1656</v>
      </c>
      <c r="G65" s="80" t="s">
        <v>1565</v>
      </c>
      <c r="H65" s="74">
        <v>17385</v>
      </c>
      <c r="I65" s="74" t="s">
        <v>1207</v>
      </c>
      <c r="J65" s="94">
        <v>12.11</v>
      </c>
      <c r="K65" s="76" t="s">
        <v>1657</v>
      </c>
      <c r="L65" s="74"/>
    </row>
    <row r="66" spans="1:12" ht="101.25">
      <c r="A66" s="993"/>
      <c r="B66" s="76" t="s">
        <v>1653</v>
      </c>
      <c r="C66" s="74" t="s">
        <v>1321</v>
      </c>
      <c r="D66" s="1000"/>
      <c r="E66" s="993"/>
      <c r="F66" s="76" t="s">
        <v>1658</v>
      </c>
      <c r="G66" s="80" t="s">
        <v>870</v>
      </c>
      <c r="H66" s="74">
        <v>28985</v>
      </c>
      <c r="I66" s="74" t="s">
        <v>1207</v>
      </c>
      <c r="J66" s="94">
        <v>20.34</v>
      </c>
      <c r="K66" s="76" t="s">
        <v>1659</v>
      </c>
      <c r="L66" s="74"/>
    </row>
    <row r="67" spans="1:12" ht="121.5">
      <c r="A67" s="993">
        <v>33</v>
      </c>
      <c r="B67" s="76" t="s">
        <v>1660</v>
      </c>
      <c r="C67" s="74" t="s">
        <v>1661</v>
      </c>
      <c r="D67" s="997" t="s">
        <v>1662</v>
      </c>
      <c r="E67" s="993" t="s">
        <v>1663</v>
      </c>
      <c r="F67" s="76" t="s">
        <v>1664</v>
      </c>
      <c r="G67" s="80" t="s">
        <v>925</v>
      </c>
      <c r="I67" s="74" t="s">
        <v>1207</v>
      </c>
      <c r="J67" s="94">
        <v>21.85</v>
      </c>
      <c r="K67" s="76" t="s">
        <v>1665</v>
      </c>
      <c r="L67" s="95">
        <v>31100</v>
      </c>
    </row>
    <row r="68" spans="1:12" ht="121.5">
      <c r="A68" s="993"/>
      <c r="B68" s="76" t="s">
        <v>1660</v>
      </c>
      <c r="C68" s="74" t="s">
        <v>1661</v>
      </c>
      <c r="D68" s="999"/>
      <c r="E68" s="993"/>
      <c r="F68" s="76" t="s">
        <v>1666</v>
      </c>
      <c r="G68" s="80" t="s">
        <v>874</v>
      </c>
      <c r="I68" s="74" t="s">
        <v>1207</v>
      </c>
      <c r="J68" s="94">
        <v>21.77</v>
      </c>
      <c r="K68" s="76" t="s">
        <v>1667</v>
      </c>
      <c r="L68" s="95">
        <v>31100</v>
      </c>
    </row>
    <row r="69" spans="1:12" ht="141.75">
      <c r="A69" s="75">
        <v>34</v>
      </c>
      <c r="B69" s="76" t="s">
        <v>1668</v>
      </c>
      <c r="C69" s="74" t="s">
        <v>756</v>
      </c>
      <c r="D69" s="76" t="s">
        <v>1669</v>
      </c>
      <c r="E69" s="75" t="s">
        <v>1670</v>
      </c>
      <c r="F69" s="76" t="s">
        <v>1671</v>
      </c>
      <c r="G69" s="80" t="s">
        <v>1603</v>
      </c>
      <c r="H69" s="74">
        <v>44920</v>
      </c>
      <c r="I69" s="74" t="s">
        <v>1207</v>
      </c>
      <c r="J69" s="94">
        <v>31.54</v>
      </c>
      <c r="K69" s="76" t="s">
        <v>1672</v>
      </c>
      <c r="L69" s="74"/>
    </row>
    <row r="70" spans="1:12" ht="121.5">
      <c r="A70" s="993">
        <v>35</v>
      </c>
      <c r="B70" s="76" t="s">
        <v>1673</v>
      </c>
      <c r="C70" s="74" t="s">
        <v>1674</v>
      </c>
      <c r="D70" s="997" t="s">
        <v>1675</v>
      </c>
      <c r="E70" s="993" t="s">
        <v>1676</v>
      </c>
      <c r="F70" s="76" t="s">
        <v>1677</v>
      </c>
      <c r="G70" s="77">
        <v>43816</v>
      </c>
      <c r="H70" s="79">
        <v>20967</v>
      </c>
      <c r="I70" s="74" t="s">
        <v>1207</v>
      </c>
      <c r="J70" s="94">
        <v>14.7</v>
      </c>
      <c r="K70" s="76" t="s">
        <v>1678</v>
      </c>
      <c r="L70" s="74"/>
    </row>
    <row r="71" spans="1:12" ht="141.75">
      <c r="A71" s="993"/>
      <c r="B71" s="76" t="s">
        <v>1673</v>
      </c>
      <c r="C71" s="74" t="s">
        <v>1674</v>
      </c>
      <c r="D71" s="999"/>
      <c r="E71" s="993"/>
      <c r="F71" s="76" t="s">
        <v>1679</v>
      </c>
      <c r="G71" s="80" t="s">
        <v>791</v>
      </c>
      <c r="H71" s="79">
        <v>33567</v>
      </c>
      <c r="I71" s="74" t="s">
        <v>1207</v>
      </c>
      <c r="J71" s="94">
        <v>23.48</v>
      </c>
      <c r="K71" s="76" t="s">
        <v>1680</v>
      </c>
      <c r="L71" s="74"/>
    </row>
    <row r="72" spans="1:12" ht="60.75">
      <c r="A72" s="75">
        <v>36</v>
      </c>
      <c r="B72" s="76" t="s">
        <v>1681</v>
      </c>
      <c r="C72" s="74" t="s">
        <v>1459</v>
      </c>
      <c r="D72" s="76" t="s">
        <v>1682</v>
      </c>
      <c r="E72" s="75" t="s">
        <v>1683</v>
      </c>
      <c r="F72" s="76" t="s">
        <v>1684</v>
      </c>
      <c r="G72" s="80" t="s">
        <v>1603</v>
      </c>
      <c r="H72" s="74">
        <v>51100</v>
      </c>
      <c r="I72" s="74" t="s">
        <v>1207</v>
      </c>
      <c r="J72" s="94">
        <v>35.840000000000003</v>
      </c>
      <c r="K72" s="76" t="s">
        <v>1685</v>
      </c>
      <c r="L72" s="74"/>
    </row>
    <row r="73" spans="1:12" ht="121.5">
      <c r="A73" s="994">
        <v>37</v>
      </c>
      <c r="B73" s="76" t="s">
        <v>1686</v>
      </c>
      <c r="C73" s="74" t="s">
        <v>1499</v>
      </c>
      <c r="D73" s="997" t="s">
        <v>1687</v>
      </c>
      <c r="E73" s="994" t="s">
        <v>1688</v>
      </c>
      <c r="F73" s="76" t="s">
        <v>1689</v>
      </c>
      <c r="G73" s="80" t="s">
        <v>791</v>
      </c>
      <c r="H73" s="74">
        <v>25760</v>
      </c>
      <c r="I73" s="74" t="s">
        <v>1207</v>
      </c>
      <c r="J73" s="94">
        <v>18.02</v>
      </c>
      <c r="K73" s="76" t="s">
        <v>1690</v>
      </c>
      <c r="L73" s="74"/>
    </row>
    <row r="74" spans="1:12" ht="121.5">
      <c r="A74" s="995"/>
      <c r="B74" s="76" t="s">
        <v>1686</v>
      </c>
      <c r="C74" s="74" t="s">
        <v>1499</v>
      </c>
      <c r="D74" s="999"/>
      <c r="E74" s="995"/>
      <c r="F74" s="76" t="s">
        <v>1689</v>
      </c>
      <c r="G74" s="77">
        <v>43827</v>
      </c>
      <c r="H74" s="74">
        <v>30560</v>
      </c>
      <c r="I74" s="74" t="s">
        <v>1207</v>
      </c>
      <c r="J74" s="94">
        <v>21.33</v>
      </c>
      <c r="K74" s="76" t="s">
        <v>1691</v>
      </c>
      <c r="L74" s="74"/>
    </row>
    <row r="75" spans="1:12" ht="121.5">
      <c r="A75" s="994">
        <v>38</v>
      </c>
      <c r="B75" s="76" t="s">
        <v>1692</v>
      </c>
      <c r="C75" s="74" t="s">
        <v>1499</v>
      </c>
      <c r="D75" s="997" t="s">
        <v>1693</v>
      </c>
      <c r="E75" s="994" t="s">
        <v>1694</v>
      </c>
      <c r="F75" s="76" t="s">
        <v>1695</v>
      </c>
      <c r="G75" s="80" t="s">
        <v>1696</v>
      </c>
      <c r="I75" s="74" t="s">
        <v>1207</v>
      </c>
      <c r="J75" s="94">
        <v>11.86</v>
      </c>
      <c r="K75" s="76" t="s">
        <v>1697</v>
      </c>
      <c r="L75" s="74">
        <v>16705</v>
      </c>
    </row>
    <row r="76" spans="1:12" ht="121.5">
      <c r="A76" s="995"/>
      <c r="B76" s="76" t="s">
        <v>1692</v>
      </c>
      <c r="C76" s="74" t="s">
        <v>1499</v>
      </c>
      <c r="D76" s="999"/>
      <c r="E76" s="995"/>
      <c r="F76" s="76" t="s">
        <v>1695</v>
      </c>
      <c r="G76" s="80" t="s">
        <v>1555</v>
      </c>
      <c r="I76" s="74" t="s">
        <v>1207</v>
      </c>
      <c r="J76" s="94">
        <v>105.5</v>
      </c>
      <c r="K76" s="76" t="s">
        <v>1698</v>
      </c>
      <c r="L76" s="74">
        <v>150465</v>
      </c>
    </row>
    <row r="77" spans="1:12" ht="81">
      <c r="A77" s="75">
        <v>39</v>
      </c>
      <c r="B77" s="76" t="s">
        <v>1477</v>
      </c>
      <c r="C77" s="74" t="s">
        <v>459</v>
      </c>
      <c r="D77" s="76" t="s">
        <v>1699</v>
      </c>
      <c r="E77" s="75" t="s">
        <v>1700</v>
      </c>
      <c r="F77" s="76" t="s">
        <v>1701</v>
      </c>
      <c r="G77" s="99">
        <v>43794</v>
      </c>
      <c r="H77" s="84">
        <v>66425</v>
      </c>
      <c r="I77" s="78" t="s">
        <v>1207</v>
      </c>
      <c r="J77" s="94">
        <v>46.62</v>
      </c>
      <c r="K77" s="76" t="s">
        <v>1702</v>
      </c>
      <c r="L77" s="74"/>
    </row>
    <row r="78" spans="1:12" ht="81">
      <c r="A78" s="87">
        <v>40</v>
      </c>
      <c r="B78" s="76" t="s">
        <v>1477</v>
      </c>
      <c r="C78" s="74" t="s">
        <v>459</v>
      </c>
      <c r="D78" s="76" t="s">
        <v>1703</v>
      </c>
      <c r="E78" s="87" t="s">
        <v>1704</v>
      </c>
      <c r="F78" s="76" t="s">
        <v>1643</v>
      </c>
      <c r="G78" s="90" t="s">
        <v>791</v>
      </c>
      <c r="H78" s="79">
        <v>70000</v>
      </c>
      <c r="I78" s="74" t="s">
        <v>1207</v>
      </c>
      <c r="J78" s="94">
        <v>48.96</v>
      </c>
      <c r="K78" s="76" t="s">
        <v>1705</v>
      </c>
      <c r="L78" s="74"/>
    </row>
    <row r="79" spans="1:12" ht="81">
      <c r="A79" s="993">
        <v>41</v>
      </c>
      <c r="B79" s="76" t="s">
        <v>1706</v>
      </c>
      <c r="C79" s="74" t="s">
        <v>1469</v>
      </c>
      <c r="D79" s="997" t="s">
        <v>1707</v>
      </c>
      <c r="E79" s="993" t="s">
        <v>1708</v>
      </c>
      <c r="F79" s="82" t="s">
        <v>1709</v>
      </c>
      <c r="G79" s="86" t="s">
        <v>802</v>
      </c>
      <c r="H79" s="78">
        <v>45000</v>
      </c>
      <c r="I79" s="78" t="s">
        <v>1207</v>
      </c>
      <c r="J79" s="94">
        <v>31.36</v>
      </c>
      <c r="K79" s="76" t="s">
        <v>1710</v>
      </c>
      <c r="L79" s="74"/>
    </row>
    <row r="80" spans="1:12" ht="81">
      <c r="A80" s="993"/>
      <c r="B80" s="76" t="s">
        <v>1706</v>
      </c>
      <c r="C80" s="74" t="s">
        <v>1469</v>
      </c>
      <c r="D80" s="999"/>
      <c r="E80" s="993"/>
      <c r="F80" s="76" t="s">
        <v>1711</v>
      </c>
      <c r="G80" s="80" t="s">
        <v>1618</v>
      </c>
      <c r="H80" s="74">
        <v>20000</v>
      </c>
      <c r="I80" s="74" t="s">
        <v>1207</v>
      </c>
      <c r="J80" s="94">
        <v>14.03</v>
      </c>
      <c r="K80" s="76" t="s">
        <v>1712</v>
      </c>
      <c r="L80" s="74"/>
    </row>
    <row r="81" spans="1:12" ht="141.75">
      <c r="A81" s="995">
        <v>42</v>
      </c>
      <c r="B81" s="76" t="s">
        <v>1443</v>
      </c>
      <c r="C81" s="74" t="s">
        <v>1444</v>
      </c>
      <c r="D81" s="1001" t="s">
        <v>1713</v>
      </c>
      <c r="E81" s="993" t="s">
        <v>1714</v>
      </c>
      <c r="F81" s="76" t="s">
        <v>1715</v>
      </c>
      <c r="G81" s="100" t="s">
        <v>838</v>
      </c>
      <c r="I81" s="74" t="s">
        <v>1207</v>
      </c>
      <c r="J81" s="94">
        <v>26.2</v>
      </c>
      <c r="K81" s="76" t="s">
        <v>1716</v>
      </c>
      <c r="L81" s="95">
        <v>36770</v>
      </c>
    </row>
    <row r="82" spans="1:12" ht="141.75">
      <c r="A82" s="995"/>
      <c r="B82" s="76" t="s">
        <v>1443</v>
      </c>
      <c r="C82" s="74" t="s">
        <v>1444</v>
      </c>
      <c r="D82" s="1001"/>
      <c r="E82" s="993"/>
      <c r="F82" s="76" t="s">
        <v>1717</v>
      </c>
      <c r="G82" s="101" t="s">
        <v>1511</v>
      </c>
      <c r="I82" s="78" t="s">
        <v>1207</v>
      </c>
      <c r="J82" s="94">
        <v>35.479999999999997</v>
      </c>
      <c r="K82" s="82" t="s">
        <v>1718</v>
      </c>
      <c r="L82" s="107">
        <v>50720</v>
      </c>
    </row>
    <row r="83" spans="1:12" ht="81">
      <c r="A83" s="87">
        <v>43</v>
      </c>
      <c r="B83" s="82" t="s">
        <v>1477</v>
      </c>
      <c r="C83" s="78" t="s">
        <v>459</v>
      </c>
      <c r="D83" s="82" t="s">
        <v>1719</v>
      </c>
      <c r="E83" s="87" t="s">
        <v>1720</v>
      </c>
      <c r="F83" s="82" t="s">
        <v>1643</v>
      </c>
      <c r="G83" s="102">
        <v>43794</v>
      </c>
      <c r="H83" s="84">
        <v>56235</v>
      </c>
      <c r="I83" s="78" t="s">
        <v>1207</v>
      </c>
      <c r="J83" s="108">
        <v>39.409999999999997</v>
      </c>
      <c r="K83" s="82" t="s">
        <v>1721</v>
      </c>
      <c r="L83" s="78"/>
    </row>
    <row r="84" spans="1:12" s="73" customFormat="1" ht="69.75" customHeight="1">
      <c r="G84" s="103" t="s">
        <v>1722</v>
      </c>
      <c r="H84" s="104">
        <f>SUM(H3:H83)</f>
        <v>2970879.8</v>
      </c>
      <c r="I84" s="74" t="s">
        <v>1723</v>
      </c>
      <c r="J84" s="109">
        <f>SUM(J3:J83)</f>
        <v>2412.9299999999994</v>
      </c>
    </row>
    <row r="85" spans="1:12" ht="48" customHeight="1">
      <c r="G85" s="105" t="s">
        <v>1724</v>
      </c>
      <c r="H85" s="106">
        <f>H84*7.0785/10000</f>
        <v>2102.9372664299999</v>
      </c>
      <c r="L85" s="72">
        <f>SUM(L3:L84)</f>
        <v>453668.24</v>
      </c>
    </row>
    <row r="89" spans="1:12">
      <c r="H89" s="72">
        <f>H84*7*0.15</f>
        <v>3119423.7899999996</v>
      </c>
    </row>
  </sheetData>
  <mergeCells count="87">
    <mergeCell ref="L4:L6"/>
    <mergeCell ref="L7:L8"/>
    <mergeCell ref="L58:L59"/>
    <mergeCell ref="E70:E71"/>
    <mergeCell ref="E73:E74"/>
    <mergeCell ref="E75:E76"/>
    <mergeCell ref="E79:E80"/>
    <mergeCell ref="E81:E82"/>
    <mergeCell ref="E54:E56"/>
    <mergeCell ref="E58:E59"/>
    <mergeCell ref="E60:E63"/>
    <mergeCell ref="E65:E66"/>
    <mergeCell ref="E67:E68"/>
    <mergeCell ref="D81:D82"/>
    <mergeCell ref="E4:E6"/>
    <mergeCell ref="E7:E8"/>
    <mergeCell ref="E9:E10"/>
    <mergeCell ref="E11:E14"/>
    <mergeCell ref="E16:E17"/>
    <mergeCell ref="E19:E20"/>
    <mergeCell ref="E21:E22"/>
    <mergeCell ref="E23:E24"/>
    <mergeCell ref="E25:E26"/>
    <mergeCell ref="E29:E31"/>
    <mergeCell ref="E32:E35"/>
    <mergeCell ref="E36:E39"/>
    <mergeCell ref="E40:E42"/>
    <mergeCell ref="E44:E46"/>
    <mergeCell ref="E50:E51"/>
    <mergeCell ref="D67:D68"/>
    <mergeCell ref="D70:D71"/>
    <mergeCell ref="D73:D74"/>
    <mergeCell ref="D75:D76"/>
    <mergeCell ref="D79:D80"/>
    <mergeCell ref="D50:D51"/>
    <mergeCell ref="D54:D56"/>
    <mergeCell ref="D58:D59"/>
    <mergeCell ref="D60:D63"/>
    <mergeCell ref="D65:D66"/>
    <mergeCell ref="D29:D31"/>
    <mergeCell ref="D32:D35"/>
    <mergeCell ref="D36:D39"/>
    <mergeCell ref="D40:D42"/>
    <mergeCell ref="D44:D46"/>
    <mergeCell ref="D16:D17"/>
    <mergeCell ref="D19:D20"/>
    <mergeCell ref="D21:D22"/>
    <mergeCell ref="D23:D24"/>
    <mergeCell ref="D25:D26"/>
    <mergeCell ref="A81:A82"/>
    <mergeCell ref="C7:C8"/>
    <mergeCell ref="C11:C14"/>
    <mergeCell ref="C16:C17"/>
    <mergeCell ref="C21:C22"/>
    <mergeCell ref="C23:C24"/>
    <mergeCell ref="C25:C26"/>
    <mergeCell ref="C50:C51"/>
    <mergeCell ref="C54:C56"/>
    <mergeCell ref="A67:A68"/>
    <mergeCell ref="A70:A71"/>
    <mergeCell ref="A73:A74"/>
    <mergeCell ref="A75:A76"/>
    <mergeCell ref="A79:A80"/>
    <mergeCell ref="A50:A51"/>
    <mergeCell ref="A54:A56"/>
    <mergeCell ref="A58:A59"/>
    <mergeCell ref="A60:A63"/>
    <mergeCell ref="A65:A66"/>
    <mergeCell ref="A29:A31"/>
    <mergeCell ref="A32:A35"/>
    <mergeCell ref="A36:A39"/>
    <mergeCell ref="A40:A42"/>
    <mergeCell ref="A44:A46"/>
    <mergeCell ref="A16:A17"/>
    <mergeCell ref="A19:A20"/>
    <mergeCell ref="A21:A22"/>
    <mergeCell ref="A23:A24"/>
    <mergeCell ref="A25:A26"/>
    <mergeCell ref="A1:K1"/>
    <mergeCell ref="A4:A6"/>
    <mergeCell ref="A7:A8"/>
    <mergeCell ref="A9:A10"/>
    <mergeCell ref="A11:A14"/>
    <mergeCell ref="D4:D6"/>
    <mergeCell ref="D7:D8"/>
    <mergeCell ref="D9:D10"/>
    <mergeCell ref="D11:D14"/>
  </mergeCells>
  <phoneticPr fontId="92" type="noConversion"/>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0"/>
  </sheetPr>
  <dimension ref="A1:R5"/>
  <sheetViews>
    <sheetView workbookViewId="0">
      <selection activeCell="E19" sqref="E19"/>
    </sheetView>
  </sheetViews>
  <sheetFormatPr defaultColWidth="8.875" defaultRowHeight="13.5"/>
  <cols>
    <col min="1" max="1" width="30.5" customWidth="1"/>
  </cols>
  <sheetData>
    <row r="1" spans="1:18">
      <c r="A1" s="779" t="s">
        <v>17</v>
      </c>
      <c r="B1" s="772"/>
      <c r="C1" s="772"/>
      <c r="D1" s="779"/>
      <c r="E1" s="772"/>
      <c r="F1" s="772"/>
      <c r="G1" s="772"/>
      <c r="H1" s="772"/>
      <c r="I1" s="772"/>
      <c r="J1" s="772"/>
      <c r="K1" s="772"/>
      <c r="L1" s="772"/>
      <c r="M1" s="772"/>
      <c r="N1" s="772"/>
      <c r="O1" s="772"/>
      <c r="P1" s="772"/>
      <c r="Q1" s="772"/>
      <c r="R1" s="772"/>
    </row>
    <row r="2" spans="1:18">
      <c r="A2" s="772"/>
      <c r="B2" s="772"/>
      <c r="C2" s="772"/>
      <c r="D2" s="772"/>
      <c r="E2" s="772"/>
      <c r="F2" s="772"/>
      <c r="G2" s="772"/>
      <c r="H2" s="772"/>
      <c r="I2" s="772"/>
      <c r="J2" s="772"/>
      <c r="K2" s="772"/>
      <c r="L2" s="772"/>
      <c r="M2" s="772"/>
      <c r="N2" s="772"/>
      <c r="O2" s="772"/>
      <c r="P2" s="772"/>
      <c r="Q2" s="772"/>
      <c r="R2" s="772"/>
    </row>
    <row r="3" spans="1:18">
      <c r="A3" s="772"/>
      <c r="B3" s="772"/>
      <c r="C3" s="772"/>
      <c r="D3" s="772"/>
      <c r="E3" s="772"/>
      <c r="F3" s="772"/>
      <c r="G3" s="772"/>
      <c r="H3" s="772"/>
      <c r="I3" s="772"/>
      <c r="J3" s="772"/>
      <c r="K3" s="772"/>
      <c r="L3" s="772"/>
      <c r="M3" s="772"/>
      <c r="N3" s="772"/>
      <c r="O3" s="772"/>
      <c r="P3" s="772"/>
      <c r="Q3" s="772"/>
      <c r="R3" s="772"/>
    </row>
    <row r="4" spans="1:18">
      <c r="A4" s="782" t="s">
        <v>2</v>
      </c>
      <c r="B4" s="783" t="s">
        <v>18</v>
      </c>
      <c r="C4" s="344" t="s">
        <v>3</v>
      </c>
      <c r="D4" s="780" t="s">
        <v>19</v>
      </c>
      <c r="E4" s="780"/>
      <c r="F4" s="780"/>
      <c r="G4" s="780"/>
      <c r="H4" s="780"/>
      <c r="I4" s="780"/>
      <c r="J4" s="781" t="s">
        <v>5</v>
      </c>
      <c r="K4" s="781"/>
      <c r="L4" s="781"/>
      <c r="M4" s="349" t="s">
        <v>20</v>
      </c>
      <c r="N4" s="785"/>
      <c r="O4" s="776" t="s">
        <v>9</v>
      </c>
      <c r="P4" s="776" t="s">
        <v>11</v>
      </c>
      <c r="Q4" s="777" t="s">
        <v>12</v>
      </c>
      <c r="R4" s="778" t="s">
        <v>13</v>
      </c>
    </row>
    <row r="5" spans="1:18" ht="90" customHeight="1">
      <c r="A5" s="782"/>
      <c r="B5" s="784"/>
      <c r="C5" s="348" t="s">
        <v>21</v>
      </c>
      <c r="D5" s="348" t="s">
        <v>22</v>
      </c>
      <c r="E5" s="348" t="s">
        <v>23</v>
      </c>
      <c r="F5" s="348" t="s">
        <v>24</v>
      </c>
      <c r="G5" s="348" t="s">
        <v>25</v>
      </c>
      <c r="H5" s="348" t="s">
        <v>26</v>
      </c>
      <c r="I5" s="348" t="s">
        <v>27</v>
      </c>
      <c r="J5" s="348" t="s">
        <v>28</v>
      </c>
      <c r="K5" s="348" t="s">
        <v>29</v>
      </c>
      <c r="L5" s="348" t="s">
        <v>30</v>
      </c>
      <c r="M5" s="350" t="s">
        <v>31</v>
      </c>
      <c r="N5" s="785"/>
      <c r="O5" s="776"/>
      <c r="P5" s="776"/>
      <c r="Q5" s="777"/>
      <c r="R5" s="778"/>
    </row>
  </sheetData>
  <mergeCells count="10">
    <mergeCell ref="O4:O5"/>
    <mergeCell ref="P4:P5"/>
    <mergeCell ref="Q4:Q5"/>
    <mergeCell ref="R4:R5"/>
    <mergeCell ref="A1:R3"/>
    <mergeCell ref="D4:I4"/>
    <mergeCell ref="J4:L4"/>
    <mergeCell ref="A4:A5"/>
    <mergeCell ref="B4:B5"/>
    <mergeCell ref="N4:N5"/>
  </mergeCells>
  <phoneticPr fontId="92" type="noConversion"/>
  <hyperlinks>
    <hyperlink ref="D1:L2" location="目录!A1" display="目录!A1"/>
  </hyperlinks>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tabColor theme="7"/>
  </sheetPr>
  <dimension ref="A1:J18"/>
  <sheetViews>
    <sheetView topLeftCell="A10" workbookViewId="0">
      <selection activeCell="B43" sqref="B43"/>
    </sheetView>
  </sheetViews>
  <sheetFormatPr defaultColWidth="9" defaultRowHeight="13.5"/>
  <cols>
    <col min="1" max="1" width="5.875" style="61" customWidth="1"/>
    <col min="2" max="2" width="11.375" style="61" customWidth="1"/>
    <col min="3" max="3" width="24.5" style="61" customWidth="1"/>
    <col min="4" max="4" width="37.625" style="2" customWidth="1"/>
    <col min="5" max="5" width="12.625" style="62" customWidth="1"/>
    <col min="6" max="6" width="8.375" style="61" customWidth="1"/>
    <col min="7" max="7" width="16.875" style="62" customWidth="1"/>
    <col min="8" max="8" width="10.125" style="63" customWidth="1"/>
    <col min="9" max="9" width="14.75" style="2" customWidth="1"/>
    <col min="10" max="10" width="18.375" style="2" customWidth="1"/>
    <col min="11" max="16384" width="9" style="2"/>
  </cols>
  <sheetData>
    <row r="1" spans="1:10" ht="23.25" customHeight="1">
      <c r="A1" s="1008" t="s">
        <v>1725</v>
      </c>
      <c r="B1" s="1008"/>
      <c r="C1" s="1008"/>
      <c r="D1" s="1008"/>
      <c r="E1" s="1008"/>
      <c r="F1" s="1008"/>
      <c r="G1" s="1008"/>
      <c r="H1" s="1008"/>
      <c r="I1" s="1008"/>
    </row>
    <row r="2" spans="1:10" ht="45" customHeight="1">
      <c r="A2" s="64" t="s">
        <v>180</v>
      </c>
      <c r="B2" s="64" t="s">
        <v>1726</v>
      </c>
      <c r="C2" s="64" t="s">
        <v>770</v>
      </c>
      <c r="D2" s="64" t="s">
        <v>1727</v>
      </c>
      <c r="E2" s="65" t="s">
        <v>1728</v>
      </c>
      <c r="F2" s="64" t="s">
        <v>1729</v>
      </c>
      <c r="G2" s="65" t="s">
        <v>1730</v>
      </c>
      <c r="H2" s="66" t="s">
        <v>1731</v>
      </c>
      <c r="I2" s="65" t="s">
        <v>1732</v>
      </c>
    </row>
    <row r="3" spans="1:10" ht="22.5" customHeight="1">
      <c r="A3" s="1009" t="s">
        <v>1733</v>
      </c>
      <c r="B3" s="1009"/>
      <c r="C3" s="1009"/>
      <c r="D3" s="1009"/>
      <c r="E3" s="1009"/>
      <c r="F3" s="1009"/>
      <c r="G3" s="1009"/>
      <c r="H3" s="66"/>
      <c r="I3" s="70"/>
    </row>
    <row r="4" spans="1:10" ht="52.5" customHeight="1">
      <c r="A4" s="64">
        <v>1</v>
      </c>
      <c r="B4" s="67">
        <v>43697</v>
      </c>
      <c r="C4" s="64" t="s">
        <v>1734</v>
      </c>
      <c r="D4" s="66" t="s">
        <v>3104</v>
      </c>
      <c r="E4" s="434">
        <v>74155</v>
      </c>
      <c r="F4" s="64">
        <v>7.0506000000000002</v>
      </c>
      <c r="G4" s="68">
        <v>522837.24</v>
      </c>
      <c r="H4" s="66"/>
      <c r="I4" s="70"/>
    </row>
    <row r="5" spans="1:10" ht="51" customHeight="1">
      <c r="A5" s="64">
        <v>2</v>
      </c>
      <c r="B5" s="67">
        <v>43797</v>
      </c>
      <c r="C5" s="64" t="s">
        <v>1736</v>
      </c>
      <c r="D5" s="66" t="s">
        <v>1735</v>
      </c>
      <c r="E5" s="434">
        <v>134590</v>
      </c>
      <c r="F5" s="64">
        <v>7.0156999999999998</v>
      </c>
      <c r="G5" s="68">
        <v>944243.06</v>
      </c>
      <c r="H5" s="66"/>
      <c r="I5" s="70"/>
    </row>
    <row r="6" spans="1:10" ht="51.75" customHeight="1">
      <c r="A6" s="64">
        <v>3</v>
      </c>
      <c r="B6" s="67">
        <v>43847</v>
      </c>
      <c r="C6" s="64" t="s">
        <v>1737</v>
      </c>
      <c r="D6" s="66" t="s">
        <v>1735</v>
      </c>
      <c r="E6" s="434">
        <v>155790</v>
      </c>
      <c r="F6" s="64">
        <v>6.8459000000000003</v>
      </c>
      <c r="G6" s="68">
        <v>1066522.76</v>
      </c>
      <c r="H6" s="66"/>
      <c r="I6" s="70"/>
    </row>
    <row r="7" spans="1:10" ht="48.75" customHeight="1">
      <c r="A7" s="64">
        <v>4</v>
      </c>
      <c r="B7" s="67">
        <v>43850</v>
      </c>
      <c r="C7" s="64" t="s">
        <v>1738</v>
      </c>
      <c r="D7" s="66" t="s">
        <v>1735</v>
      </c>
      <c r="E7" s="434">
        <v>119790</v>
      </c>
      <c r="F7" s="64">
        <v>6.8428000000000004</v>
      </c>
      <c r="G7" s="68">
        <v>819699.01</v>
      </c>
      <c r="H7" s="66"/>
      <c r="I7" s="70"/>
    </row>
    <row r="8" spans="1:10" ht="43.5" customHeight="1">
      <c r="A8" s="64">
        <v>5</v>
      </c>
      <c r="B8" s="67">
        <v>43732</v>
      </c>
      <c r="C8" s="64" t="s">
        <v>1739</v>
      </c>
      <c r="D8" s="66" t="s">
        <v>1740</v>
      </c>
      <c r="E8" s="435">
        <v>37130</v>
      </c>
      <c r="F8" s="64">
        <v>7.0952000000000002</v>
      </c>
      <c r="G8" s="68">
        <v>263444.78000000003</v>
      </c>
      <c r="H8" s="66"/>
      <c r="I8" s="70"/>
    </row>
    <row r="9" spans="1:10" ht="36" customHeight="1">
      <c r="A9" s="64">
        <v>6</v>
      </c>
      <c r="B9" s="67">
        <v>43822</v>
      </c>
      <c r="C9" s="64" t="s">
        <v>1741</v>
      </c>
      <c r="D9" s="66" t="s">
        <v>1742</v>
      </c>
      <c r="E9" s="437">
        <v>29970</v>
      </c>
      <c r="F9" s="64">
        <v>6.9992999999999999</v>
      </c>
      <c r="G9" s="68">
        <v>209769.02</v>
      </c>
      <c r="H9" s="66"/>
      <c r="I9" s="70"/>
    </row>
    <row r="10" spans="1:10" ht="30" customHeight="1">
      <c r="A10" s="64">
        <v>7</v>
      </c>
      <c r="B10" s="67">
        <v>43791</v>
      </c>
      <c r="C10" s="64" t="s">
        <v>1743</v>
      </c>
      <c r="D10" s="438" t="s">
        <v>1744</v>
      </c>
      <c r="E10" s="436">
        <v>26960</v>
      </c>
      <c r="F10" s="64">
        <v>7.0155000000000003</v>
      </c>
      <c r="G10" s="68">
        <v>189137.88</v>
      </c>
      <c r="H10" s="66"/>
      <c r="I10" s="70"/>
    </row>
    <row r="11" spans="1:10" ht="31.5" customHeight="1">
      <c r="A11" s="64">
        <v>8</v>
      </c>
      <c r="B11" s="67">
        <v>43910</v>
      </c>
      <c r="C11" s="64" t="s">
        <v>1745</v>
      </c>
      <c r="D11" s="438" t="s">
        <v>1744</v>
      </c>
      <c r="E11" s="436">
        <v>67460</v>
      </c>
      <c r="F11" s="64">
        <v>7.0490000000000004</v>
      </c>
      <c r="G11" s="68">
        <v>475525.54</v>
      </c>
      <c r="H11" s="65"/>
      <c r="I11" s="70"/>
    </row>
    <row r="12" spans="1:10" ht="21" customHeight="1">
      <c r="A12" s="1010" t="s">
        <v>1746</v>
      </c>
      <c r="B12" s="1010"/>
      <c r="C12" s="1010"/>
      <c r="D12" s="1010"/>
      <c r="E12" s="68">
        <f>SUM(E4:E11)</f>
        <v>645845</v>
      </c>
      <c r="F12" s="64"/>
      <c r="G12" s="68">
        <f>SUM(G4:G11)</f>
        <v>4491179.29</v>
      </c>
      <c r="H12" s="66"/>
      <c r="I12" s="70"/>
    </row>
    <row r="13" spans="1:10" ht="24.75" customHeight="1">
      <c r="A13" s="1009" t="s">
        <v>1747</v>
      </c>
      <c r="B13" s="1009"/>
      <c r="C13" s="1009"/>
      <c r="D13" s="1009"/>
      <c r="E13" s="1009"/>
      <c r="F13" s="1009"/>
      <c r="G13" s="1009"/>
      <c r="H13" s="65"/>
      <c r="I13" s="70"/>
    </row>
    <row r="14" spans="1:10" ht="34.5" customHeight="1">
      <c r="A14" s="64">
        <v>9</v>
      </c>
      <c r="B14" s="67">
        <v>43756</v>
      </c>
      <c r="C14" s="64" t="s">
        <v>1748</v>
      </c>
      <c r="D14" s="66" t="s">
        <v>1749</v>
      </c>
      <c r="E14" s="68"/>
      <c r="F14" s="64"/>
      <c r="G14" s="68">
        <v>93628482.849999994</v>
      </c>
      <c r="H14" s="69">
        <v>0.06</v>
      </c>
      <c r="I14" s="68">
        <f t="shared" ref="I14:I16" si="0">G14*H14</f>
        <v>5617708.970999999</v>
      </c>
    </row>
    <row r="15" spans="1:10" ht="35.25" customHeight="1">
      <c r="A15" s="64">
        <v>10</v>
      </c>
      <c r="B15" s="67">
        <v>43756</v>
      </c>
      <c r="C15" s="64" t="s">
        <v>1750</v>
      </c>
      <c r="D15" s="66" t="s">
        <v>1749</v>
      </c>
      <c r="E15" s="68"/>
      <c r="F15" s="64"/>
      <c r="G15" s="68">
        <v>10629141.390000001</v>
      </c>
      <c r="H15" s="69">
        <v>0.06</v>
      </c>
      <c r="I15" s="68">
        <f t="shared" si="0"/>
        <v>637748.48340000003</v>
      </c>
    </row>
    <row r="16" spans="1:10" ht="23.25" customHeight="1">
      <c r="A16" s="1010" t="s">
        <v>1746</v>
      </c>
      <c r="B16" s="1010"/>
      <c r="C16" s="1010"/>
      <c r="D16" s="1010"/>
      <c r="E16" s="68"/>
      <c r="F16" s="64"/>
      <c r="G16" s="68">
        <f>SUM(G14:G15)</f>
        <v>104257624.23999999</v>
      </c>
      <c r="H16" s="69">
        <v>0.06</v>
      </c>
      <c r="I16" s="68">
        <f t="shared" si="0"/>
        <v>6255457.4543999992</v>
      </c>
      <c r="J16" s="71">
        <f>I16/7.0795+E12</f>
        <v>1529446.5897167879</v>
      </c>
    </row>
    <row r="17" spans="1:9" ht="25.5" customHeight="1">
      <c r="A17" s="1005" t="s">
        <v>1751</v>
      </c>
      <c r="B17" s="1005"/>
      <c r="C17" s="1005"/>
      <c r="D17" s="1005"/>
      <c r="E17" s="1006">
        <f>G12+I16</f>
        <v>10746636.744399998</v>
      </c>
      <c r="F17" s="1006"/>
      <c r="G17" s="1006"/>
      <c r="H17" s="1006"/>
      <c r="I17" s="1006"/>
    </row>
    <row r="18" spans="1:9" ht="46.5" customHeight="1">
      <c r="A18" s="1007" t="s">
        <v>1752</v>
      </c>
      <c r="B18" s="1005"/>
      <c r="C18" s="1005"/>
      <c r="D18" s="1005"/>
      <c r="E18" s="1006">
        <f>E17*3.85%</f>
        <v>413745.51465939992</v>
      </c>
      <c r="F18" s="1006"/>
      <c r="G18" s="1006"/>
      <c r="H18" s="1006"/>
      <c r="I18" s="1006"/>
    </row>
  </sheetData>
  <mergeCells count="9">
    <mergeCell ref="A17:D17"/>
    <mergeCell ref="E17:I17"/>
    <mergeCell ref="A18:D18"/>
    <mergeCell ref="E18:I18"/>
    <mergeCell ref="A1:I1"/>
    <mergeCell ref="A3:G3"/>
    <mergeCell ref="A12:D12"/>
    <mergeCell ref="A13:G13"/>
    <mergeCell ref="A16:D16"/>
  </mergeCells>
  <phoneticPr fontId="92" type="noConversion"/>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dimension ref="A1:N116"/>
  <sheetViews>
    <sheetView topLeftCell="A77" workbookViewId="0">
      <selection activeCell="B43" sqref="B43"/>
    </sheetView>
  </sheetViews>
  <sheetFormatPr defaultColWidth="12.625" defaultRowHeight="12"/>
  <cols>
    <col min="1" max="1" width="12.875" style="36" customWidth="1"/>
    <col min="2" max="2" width="25.125" style="36" customWidth="1"/>
    <col min="3" max="3" width="13.125" style="38" customWidth="1"/>
    <col min="4" max="4" width="11.125" style="36" customWidth="1"/>
    <col min="5" max="5" width="10" style="36" customWidth="1"/>
    <col min="6" max="6" width="8.375" style="36" customWidth="1"/>
    <col min="7" max="7" width="12.875" style="36" customWidth="1"/>
    <col min="8" max="8" width="16.625" style="36" customWidth="1"/>
    <col min="9" max="9" width="18.875" style="36" customWidth="1"/>
    <col min="10" max="10" width="8.375" style="38" customWidth="1"/>
    <col min="11" max="11" width="8" style="38" customWidth="1"/>
    <col min="12" max="12" width="15.375" style="36" customWidth="1"/>
    <col min="13" max="13" width="5" style="36" customWidth="1"/>
    <col min="14" max="14" width="16.875" style="36" customWidth="1"/>
    <col min="15" max="16384" width="12.625" style="36"/>
  </cols>
  <sheetData>
    <row r="1" spans="1:13">
      <c r="A1" s="1013" t="s">
        <v>1753</v>
      </c>
      <c r="B1" s="1012" t="s">
        <v>190</v>
      </c>
      <c r="C1" s="1012" t="s">
        <v>1754</v>
      </c>
      <c r="D1" s="1012" t="s">
        <v>332</v>
      </c>
      <c r="E1" s="1012" t="s">
        <v>368</v>
      </c>
      <c r="F1" s="1012" t="s">
        <v>1755</v>
      </c>
      <c r="G1" s="1012" t="s">
        <v>1756</v>
      </c>
      <c r="H1" s="1012" t="s">
        <v>1757</v>
      </c>
      <c r="I1" s="1012"/>
      <c r="J1" s="1012"/>
      <c r="K1" s="1012" t="s">
        <v>1758</v>
      </c>
      <c r="L1" s="1012" t="s">
        <v>1759</v>
      </c>
      <c r="M1" s="1012" t="s">
        <v>12</v>
      </c>
    </row>
    <row r="2" spans="1:13">
      <c r="A2" s="1014"/>
      <c r="B2" s="1012"/>
      <c r="C2" s="1012"/>
      <c r="D2" s="1012"/>
      <c r="E2" s="1012"/>
      <c r="F2" s="1012"/>
      <c r="G2" s="1012"/>
      <c r="H2" s="39" t="s">
        <v>1760</v>
      </c>
      <c r="I2" s="39" t="s">
        <v>1761</v>
      </c>
      <c r="J2" s="39" t="s">
        <v>1762</v>
      </c>
      <c r="K2" s="1012"/>
      <c r="L2" s="1012"/>
      <c r="M2" s="1012"/>
    </row>
    <row r="3" spans="1:13">
      <c r="A3" s="1011" t="s">
        <v>151</v>
      </c>
      <c r="B3" s="41" t="s">
        <v>1763</v>
      </c>
      <c r="C3" s="40">
        <v>23</v>
      </c>
      <c r="D3" s="42" t="s">
        <v>1764</v>
      </c>
      <c r="E3" s="42" t="s">
        <v>453</v>
      </c>
      <c r="F3" s="43" t="s">
        <v>1765</v>
      </c>
      <c r="G3" s="44">
        <v>43838</v>
      </c>
      <c r="H3" s="45">
        <v>59761.57</v>
      </c>
      <c r="I3" s="55">
        <v>932900</v>
      </c>
      <c r="J3" s="40" t="s">
        <v>1766</v>
      </c>
      <c r="K3" s="40">
        <v>168</v>
      </c>
      <c r="L3" s="42">
        <f t="shared" ref="L3:L66" si="0">H3*0.3</f>
        <v>17928.470999999998</v>
      </c>
      <c r="M3" s="42"/>
    </row>
    <row r="4" spans="1:13">
      <c r="A4" s="1011"/>
      <c r="B4" s="41" t="s">
        <v>1767</v>
      </c>
      <c r="C4" s="40">
        <v>24</v>
      </c>
      <c r="D4" s="42" t="s">
        <v>1764</v>
      </c>
      <c r="E4" s="42" t="s">
        <v>453</v>
      </c>
      <c r="F4" s="43" t="s">
        <v>1768</v>
      </c>
      <c r="G4" s="44">
        <v>43838</v>
      </c>
      <c r="H4" s="45">
        <v>16171.33</v>
      </c>
      <c r="I4" s="45">
        <v>2323</v>
      </c>
      <c r="J4" s="40" t="s">
        <v>296</v>
      </c>
      <c r="K4" s="40">
        <v>169</v>
      </c>
      <c r="L4" s="42">
        <f t="shared" si="0"/>
        <v>4851.3989999999994</v>
      </c>
      <c r="M4" s="42"/>
    </row>
    <row r="5" spans="1:13">
      <c r="A5" s="1011"/>
      <c r="B5" s="41" t="s">
        <v>1769</v>
      </c>
      <c r="C5" s="40" t="s">
        <v>1770</v>
      </c>
      <c r="D5" s="42" t="s">
        <v>1771</v>
      </c>
      <c r="E5" s="42" t="s">
        <v>383</v>
      </c>
      <c r="F5" s="43" t="s">
        <v>1772</v>
      </c>
      <c r="G5" s="44">
        <v>43844</v>
      </c>
      <c r="H5" s="45">
        <v>1955203.7</v>
      </c>
      <c r="I5" s="45">
        <v>250304.52</v>
      </c>
      <c r="J5" s="40" t="s">
        <v>306</v>
      </c>
      <c r="K5" s="40">
        <v>170</v>
      </c>
      <c r="L5" s="42">
        <f t="shared" si="0"/>
        <v>586561.11</v>
      </c>
      <c r="M5" s="42"/>
    </row>
    <row r="6" spans="1:13">
      <c r="A6" s="1011"/>
      <c r="B6" s="46" t="s">
        <v>1773</v>
      </c>
      <c r="C6" s="40">
        <v>28</v>
      </c>
      <c r="D6" s="42" t="s">
        <v>1764</v>
      </c>
      <c r="E6" s="42" t="s">
        <v>453</v>
      </c>
      <c r="F6" s="43" t="s">
        <v>1774</v>
      </c>
      <c r="G6" s="44">
        <v>43879</v>
      </c>
      <c r="H6" s="45">
        <v>25345.13</v>
      </c>
      <c r="I6" s="45">
        <v>3660</v>
      </c>
      <c r="J6" s="40" t="s">
        <v>296</v>
      </c>
      <c r="K6" s="40">
        <v>171</v>
      </c>
      <c r="L6" s="42">
        <f t="shared" si="0"/>
        <v>7603.5389999999998</v>
      </c>
      <c r="M6" s="42"/>
    </row>
    <row r="7" spans="1:13">
      <c r="A7" s="1011"/>
      <c r="B7" s="41" t="s">
        <v>1775</v>
      </c>
      <c r="C7" s="40" t="s">
        <v>1776</v>
      </c>
      <c r="D7" s="42" t="s">
        <v>1771</v>
      </c>
      <c r="E7" s="42" t="s">
        <v>383</v>
      </c>
      <c r="F7" s="43" t="s">
        <v>1777</v>
      </c>
      <c r="G7" s="44">
        <v>43874</v>
      </c>
      <c r="H7" s="45">
        <v>435520.64</v>
      </c>
      <c r="I7" s="45">
        <v>56745.36</v>
      </c>
      <c r="J7" s="40" t="s">
        <v>306</v>
      </c>
      <c r="K7" s="40">
        <v>172</v>
      </c>
      <c r="L7" s="42">
        <f t="shared" si="0"/>
        <v>130656.192</v>
      </c>
      <c r="M7" s="42"/>
    </row>
    <row r="8" spans="1:13">
      <c r="A8" s="1011"/>
      <c r="B8" s="41" t="s">
        <v>1778</v>
      </c>
      <c r="C8" s="40">
        <v>31</v>
      </c>
      <c r="D8" s="42" t="s">
        <v>1764</v>
      </c>
      <c r="E8" s="42" t="s">
        <v>453</v>
      </c>
      <c r="F8" s="43" t="s">
        <v>1779</v>
      </c>
      <c r="G8" s="44">
        <v>43881</v>
      </c>
      <c r="H8" s="45">
        <v>10226.06</v>
      </c>
      <c r="I8" s="55">
        <v>160125</v>
      </c>
      <c r="J8" s="40" t="s">
        <v>1766</v>
      </c>
      <c r="K8" s="40">
        <v>173</v>
      </c>
      <c r="L8" s="42">
        <f t="shared" si="0"/>
        <v>3067.8179999999998</v>
      </c>
      <c r="M8" s="42"/>
    </row>
    <row r="9" spans="1:13">
      <c r="A9" s="1011"/>
      <c r="B9" s="41" t="s">
        <v>1780</v>
      </c>
      <c r="C9" s="40" t="s">
        <v>1781</v>
      </c>
      <c r="D9" s="42" t="s">
        <v>1771</v>
      </c>
      <c r="E9" s="42" t="s">
        <v>383</v>
      </c>
      <c r="F9" s="43" t="s">
        <v>1782</v>
      </c>
      <c r="G9" s="44">
        <v>43882</v>
      </c>
      <c r="H9" s="45">
        <v>258492.47</v>
      </c>
      <c r="I9" s="45">
        <v>33679.800000000003</v>
      </c>
      <c r="J9" s="40" t="s">
        <v>306</v>
      </c>
      <c r="K9" s="40">
        <v>174</v>
      </c>
      <c r="L9" s="42">
        <f t="shared" si="0"/>
        <v>77547.740999999995</v>
      </c>
      <c r="M9" s="42"/>
    </row>
    <row r="10" spans="1:13">
      <c r="A10" s="1011"/>
      <c r="B10" s="46" t="s">
        <v>1783</v>
      </c>
      <c r="C10" s="40" t="s">
        <v>1784</v>
      </c>
      <c r="D10" s="42" t="s">
        <v>1764</v>
      </c>
      <c r="E10" s="42" t="s">
        <v>453</v>
      </c>
      <c r="F10" s="43" t="s">
        <v>1785</v>
      </c>
      <c r="G10" s="44">
        <v>43887</v>
      </c>
      <c r="H10" s="45">
        <v>84850.81</v>
      </c>
      <c r="I10" s="55">
        <v>1328638</v>
      </c>
      <c r="J10" s="40" t="s">
        <v>1766</v>
      </c>
      <c r="K10" s="40">
        <v>175</v>
      </c>
      <c r="L10" s="42">
        <f t="shared" si="0"/>
        <v>25455.242999999999</v>
      </c>
      <c r="M10" s="42"/>
    </row>
    <row r="11" spans="1:13" ht="24">
      <c r="A11" s="1011"/>
      <c r="B11" s="41" t="s">
        <v>1786</v>
      </c>
      <c r="C11" s="40" t="s">
        <v>1787</v>
      </c>
      <c r="D11" s="42" t="s">
        <v>1771</v>
      </c>
      <c r="E11" s="42" t="s">
        <v>383</v>
      </c>
      <c r="F11" s="43" t="s">
        <v>1788</v>
      </c>
      <c r="G11" s="44">
        <v>43889</v>
      </c>
      <c r="H11" s="45">
        <v>8237500.29</v>
      </c>
      <c r="I11" s="45">
        <v>1073289.94</v>
      </c>
      <c r="J11" s="40" t="s">
        <v>306</v>
      </c>
      <c r="K11" s="40">
        <v>176</v>
      </c>
      <c r="L11" s="42">
        <f t="shared" si="0"/>
        <v>2471250.0869999998</v>
      </c>
      <c r="M11" s="42"/>
    </row>
    <row r="12" spans="1:13">
      <c r="A12" s="1011"/>
      <c r="B12" s="41" t="s">
        <v>1789</v>
      </c>
      <c r="C12" s="40">
        <v>35</v>
      </c>
      <c r="D12" s="42" t="s">
        <v>1764</v>
      </c>
      <c r="E12" s="42" t="s">
        <v>453</v>
      </c>
      <c r="F12" s="43" t="s">
        <v>1790</v>
      </c>
      <c r="G12" s="44">
        <v>43871</v>
      </c>
      <c r="H12" s="45">
        <v>32285.17</v>
      </c>
      <c r="I12" s="55">
        <v>505538</v>
      </c>
      <c r="J12" s="40" t="s">
        <v>1766</v>
      </c>
      <c r="K12" s="40">
        <v>177</v>
      </c>
      <c r="L12" s="42">
        <f t="shared" si="0"/>
        <v>9685.5509999999995</v>
      </c>
      <c r="M12" s="42"/>
    </row>
    <row r="13" spans="1:13">
      <c r="A13" s="1011"/>
      <c r="B13" s="41" t="s">
        <v>1791</v>
      </c>
      <c r="C13" s="40" t="s">
        <v>1770</v>
      </c>
      <c r="D13" s="42" t="s">
        <v>1771</v>
      </c>
      <c r="E13" s="42" t="s">
        <v>383</v>
      </c>
      <c r="F13" s="43" t="s">
        <v>1792</v>
      </c>
      <c r="G13" s="44">
        <v>43890</v>
      </c>
      <c r="H13" s="45">
        <v>212703.65</v>
      </c>
      <c r="I13" s="45">
        <v>27602.7</v>
      </c>
      <c r="J13" s="40" t="s">
        <v>306</v>
      </c>
      <c r="K13" s="40">
        <v>178</v>
      </c>
      <c r="L13" s="42">
        <f t="shared" si="0"/>
        <v>63811.094999999994</v>
      </c>
      <c r="M13" s="42"/>
    </row>
    <row r="14" spans="1:13">
      <c r="A14" s="1011"/>
      <c r="B14" s="46" t="s">
        <v>1793</v>
      </c>
      <c r="C14" s="40" t="s">
        <v>1794</v>
      </c>
      <c r="D14" s="42" t="s">
        <v>1795</v>
      </c>
      <c r="E14" s="42" t="s">
        <v>383</v>
      </c>
      <c r="F14" s="43" t="s">
        <v>1796</v>
      </c>
      <c r="G14" s="44">
        <v>43890</v>
      </c>
      <c r="H14" s="45">
        <v>4204.34</v>
      </c>
      <c r="I14" s="45">
        <v>545.6</v>
      </c>
      <c r="J14" s="40" t="s">
        <v>306</v>
      </c>
      <c r="K14" s="40">
        <v>179</v>
      </c>
      <c r="L14" s="42">
        <f t="shared" si="0"/>
        <v>1261.3019999999999</v>
      </c>
      <c r="M14" s="42"/>
    </row>
    <row r="15" spans="1:13">
      <c r="A15" s="1011"/>
      <c r="B15" s="41" t="s">
        <v>1797</v>
      </c>
      <c r="C15" s="40">
        <v>58</v>
      </c>
      <c r="D15" s="42" t="s">
        <v>1798</v>
      </c>
      <c r="E15" s="42" t="s">
        <v>453</v>
      </c>
      <c r="F15" s="43" t="s">
        <v>1799</v>
      </c>
      <c r="G15" s="44">
        <v>43908</v>
      </c>
      <c r="H15" s="45">
        <v>42012.43</v>
      </c>
      <c r="I15" s="55">
        <v>648000</v>
      </c>
      <c r="J15" s="40" t="s">
        <v>1766</v>
      </c>
      <c r="K15" s="40">
        <v>180</v>
      </c>
      <c r="L15" s="42">
        <f t="shared" si="0"/>
        <v>12603.728999999999</v>
      </c>
      <c r="M15" s="42"/>
    </row>
    <row r="16" spans="1:13">
      <c r="A16" s="1011"/>
      <c r="B16" s="41" t="s">
        <v>1800</v>
      </c>
      <c r="C16" s="40">
        <v>59</v>
      </c>
      <c r="D16" s="42" t="s">
        <v>1798</v>
      </c>
      <c r="E16" s="42" t="s">
        <v>453</v>
      </c>
      <c r="F16" s="43" t="s">
        <v>1801</v>
      </c>
      <c r="G16" s="44">
        <v>43909</v>
      </c>
      <c r="H16" s="45">
        <v>108921.12</v>
      </c>
      <c r="I16" s="55">
        <v>1680000</v>
      </c>
      <c r="J16" s="40" t="s">
        <v>1766</v>
      </c>
      <c r="K16" s="40">
        <v>181</v>
      </c>
      <c r="L16" s="42">
        <f t="shared" si="0"/>
        <v>32676.335999999996</v>
      </c>
      <c r="M16" s="42"/>
    </row>
    <row r="17" spans="1:13">
      <c r="A17" s="1011"/>
      <c r="B17" s="41" t="s">
        <v>1800</v>
      </c>
      <c r="C17" s="40">
        <v>59</v>
      </c>
      <c r="D17" s="42" t="s">
        <v>1798</v>
      </c>
      <c r="E17" s="42" t="s">
        <v>453</v>
      </c>
      <c r="F17" s="43" t="s">
        <v>1802</v>
      </c>
      <c r="G17" s="44">
        <v>43908</v>
      </c>
      <c r="H17" s="45">
        <v>46680.480000000003</v>
      </c>
      <c r="I17" s="55">
        <v>720000</v>
      </c>
      <c r="J17" s="40" t="s">
        <v>1766</v>
      </c>
      <c r="K17" s="40">
        <v>182</v>
      </c>
      <c r="L17" s="42">
        <f t="shared" si="0"/>
        <v>14004.144</v>
      </c>
      <c r="M17" s="42"/>
    </row>
    <row r="18" spans="1:13">
      <c r="A18" s="1011"/>
      <c r="B18" s="41" t="s">
        <v>1803</v>
      </c>
      <c r="C18" s="40" t="s">
        <v>1804</v>
      </c>
      <c r="D18" s="42" t="s">
        <v>1764</v>
      </c>
      <c r="E18" s="42" t="s">
        <v>453</v>
      </c>
      <c r="F18" s="43" t="s">
        <v>1805</v>
      </c>
      <c r="G18" s="44">
        <v>43901</v>
      </c>
      <c r="H18" s="45">
        <v>45356.25</v>
      </c>
      <c r="I18" s="55">
        <v>699575</v>
      </c>
      <c r="J18" s="40" t="s">
        <v>1766</v>
      </c>
      <c r="K18" s="40">
        <v>183</v>
      </c>
      <c r="L18" s="42">
        <f t="shared" si="0"/>
        <v>13606.875</v>
      </c>
      <c r="M18" s="42"/>
    </row>
    <row r="19" spans="1:13">
      <c r="A19" s="1011"/>
      <c r="B19" s="41" t="s">
        <v>1773</v>
      </c>
      <c r="C19" s="40">
        <v>28</v>
      </c>
      <c r="D19" s="42" t="s">
        <v>1764</v>
      </c>
      <c r="E19" s="42" t="s">
        <v>453</v>
      </c>
      <c r="F19" s="43" t="s">
        <v>1806</v>
      </c>
      <c r="G19" s="44">
        <v>43900</v>
      </c>
      <c r="H19" s="45">
        <v>59618.59</v>
      </c>
      <c r="I19" s="45">
        <v>8540</v>
      </c>
      <c r="J19" s="40" t="s">
        <v>296</v>
      </c>
      <c r="K19" s="40">
        <v>184</v>
      </c>
      <c r="L19" s="42">
        <f t="shared" si="0"/>
        <v>17885.576999999997</v>
      </c>
      <c r="M19" s="42"/>
    </row>
    <row r="20" spans="1:13">
      <c r="A20" s="1011"/>
      <c r="B20" s="46" t="s">
        <v>1807</v>
      </c>
      <c r="C20" s="40">
        <v>61</v>
      </c>
      <c r="D20" s="42" t="s">
        <v>1808</v>
      </c>
      <c r="E20" s="42" t="s">
        <v>1097</v>
      </c>
      <c r="F20" s="43" t="s">
        <v>1809</v>
      </c>
      <c r="G20" s="44">
        <v>43894</v>
      </c>
      <c r="H20" s="45">
        <v>6828.91</v>
      </c>
      <c r="I20" s="45">
        <v>978.2</v>
      </c>
      <c r="J20" s="40" t="s">
        <v>296</v>
      </c>
      <c r="K20" s="40">
        <v>185</v>
      </c>
      <c r="L20" s="42">
        <f t="shared" si="0"/>
        <v>2048.6729999999998</v>
      </c>
      <c r="M20" s="42"/>
    </row>
    <row r="21" spans="1:13">
      <c r="A21" s="1011"/>
      <c r="B21" s="41" t="s">
        <v>1810</v>
      </c>
      <c r="C21" s="40" t="s">
        <v>1811</v>
      </c>
      <c r="D21" s="42" t="s">
        <v>1771</v>
      </c>
      <c r="E21" s="42" t="s">
        <v>383</v>
      </c>
      <c r="F21" s="43" t="s">
        <v>1812</v>
      </c>
      <c r="G21" s="44">
        <v>43895</v>
      </c>
      <c r="H21" s="45">
        <v>922864.05</v>
      </c>
      <c r="I21" s="45">
        <v>119520.3</v>
      </c>
      <c r="J21" s="40" t="s">
        <v>306</v>
      </c>
      <c r="K21" s="40">
        <v>186</v>
      </c>
      <c r="L21" s="42">
        <f t="shared" si="0"/>
        <v>276859.21500000003</v>
      </c>
      <c r="M21" s="42"/>
    </row>
    <row r="22" spans="1:13" ht="24">
      <c r="A22" s="1011"/>
      <c r="B22" s="42" t="s">
        <v>1813</v>
      </c>
      <c r="C22" s="40" t="s">
        <v>1814</v>
      </c>
      <c r="D22" s="42" t="s">
        <v>1771</v>
      </c>
      <c r="E22" s="42" t="s">
        <v>383</v>
      </c>
      <c r="F22" s="43" t="s">
        <v>1815</v>
      </c>
      <c r="G22" s="44">
        <v>43899</v>
      </c>
      <c r="H22" s="45">
        <v>1017778.05</v>
      </c>
      <c r="I22" s="45">
        <v>131812.63</v>
      </c>
      <c r="J22" s="40" t="s">
        <v>306</v>
      </c>
      <c r="K22" s="40">
        <v>187</v>
      </c>
      <c r="L22" s="42">
        <f t="shared" si="0"/>
        <v>305333.41499999998</v>
      </c>
      <c r="M22" s="42"/>
    </row>
    <row r="23" spans="1:13">
      <c r="A23" s="1011"/>
      <c r="B23" s="41" t="s">
        <v>1816</v>
      </c>
      <c r="C23" s="40" t="s">
        <v>1817</v>
      </c>
      <c r="D23" s="42" t="s">
        <v>1771</v>
      </c>
      <c r="E23" s="42" t="s">
        <v>383</v>
      </c>
      <c r="F23" s="43" t="s">
        <v>1818</v>
      </c>
      <c r="G23" s="44">
        <v>43902</v>
      </c>
      <c r="H23" s="45">
        <v>5231599.9000000004</v>
      </c>
      <c r="I23" s="45">
        <v>677545.51</v>
      </c>
      <c r="J23" s="40" t="s">
        <v>306</v>
      </c>
      <c r="K23" s="40">
        <v>188</v>
      </c>
      <c r="L23" s="42">
        <f t="shared" si="0"/>
        <v>1569479.97</v>
      </c>
      <c r="M23" s="42"/>
    </row>
    <row r="24" spans="1:13" ht="36">
      <c r="A24" s="1011"/>
      <c r="B24" s="41" t="s">
        <v>1819</v>
      </c>
      <c r="C24" s="40" t="s">
        <v>1820</v>
      </c>
      <c r="D24" s="42" t="s">
        <v>1771</v>
      </c>
      <c r="E24" s="42" t="s">
        <v>383</v>
      </c>
      <c r="F24" s="43" t="s">
        <v>1821</v>
      </c>
      <c r="G24" s="44">
        <v>43910</v>
      </c>
      <c r="H24" s="45">
        <v>2267007.9900000002</v>
      </c>
      <c r="I24" s="45">
        <v>293600.64000000001</v>
      </c>
      <c r="J24" s="40" t="s">
        <v>306</v>
      </c>
      <c r="K24" s="40">
        <v>189</v>
      </c>
      <c r="L24" s="42">
        <f t="shared" si="0"/>
        <v>680102.397</v>
      </c>
      <c r="M24" s="42"/>
    </row>
    <row r="25" spans="1:13">
      <c r="A25" s="1011"/>
      <c r="B25" s="47" t="s">
        <v>1822</v>
      </c>
      <c r="C25" s="40" t="s">
        <v>1811</v>
      </c>
      <c r="D25" s="42" t="s">
        <v>1771</v>
      </c>
      <c r="E25" s="42" t="s">
        <v>383</v>
      </c>
      <c r="F25" s="43" t="s">
        <v>1823</v>
      </c>
      <c r="G25" s="44">
        <v>43916</v>
      </c>
      <c r="H25" s="45">
        <v>2153967.15</v>
      </c>
      <c r="I25" s="45">
        <v>278960.7</v>
      </c>
      <c r="J25" s="40" t="s">
        <v>306</v>
      </c>
      <c r="K25" s="40">
        <v>190</v>
      </c>
      <c r="L25" s="42">
        <f t="shared" si="0"/>
        <v>646190.1449999999</v>
      </c>
      <c r="M25" s="42"/>
    </row>
    <row r="26" spans="1:13" ht="24">
      <c r="A26" s="1011"/>
      <c r="B26" s="41" t="s">
        <v>1824</v>
      </c>
      <c r="C26" s="40" t="s">
        <v>1825</v>
      </c>
      <c r="D26" s="42" t="s">
        <v>1771</v>
      </c>
      <c r="E26" s="42" t="s">
        <v>383</v>
      </c>
      <c r="F26" s="43" t="s">
        <v>1826</v>
      </c>
      <c r="G26" s="44">
        <v>43920</v>
      </c>
      <c r="H26" s="45">
        <v>3383106.01</v>
      </c>
      <c r="I26" s="45">
        <v>438146.71</v>
      </c>
      <c r="J26" s="40" t="s">
        <v>306</v>
      </c>
      <c r="K26" s="40">
        <v>191</v>
      </c>
      <c r="L26" s="42">
        <f t="shared" si="0"/>
        <v>1014931.8029999998</v>
      </c>
      <c r="M26" s="42"/>
    </row>
    <row r="27" spans="1:13">
      <c r="A27" s="1011"/>
      <c r="B27" s="41" t="s">
        <v>1827</v>
      </c>
      <c r="C27" s="48">
        <v>82</v>
      </c>
      <c r="D27" s="42" t="s">
        <v>1764</v>
      </c>
      <c r="E27" s="42" t="s">
        <v>453</v>
      </c>
      <c r="F27" s="43" t="s">
        <v>1828</v>
      </c>
      <c r="G27" s="44">
        <v>43924</v>
      </c>
      <c r="H27" s="45">
        <v>28322.43</v>
      </c>
      <c r="I27" s="55">
        <v>429955</v>
      </c>
      <c r="J27" s="40" t="s">
        <v>1766</v>
      </c>
      <c r="K27" s="40">
        <v>192</v>
      </c>
      <c r="L27" s="42">
        <f t="shared" si="0"/>
        <v>8496.7289999999994</v>
      </c>
      <c r="M27" s="42"/>
    </row>
    <row r="28" spans="1:13">
      <c r="A28" s="1011"/>
      <c r="B28" s="41" t="s">
        <v>1829</v>
      </c>
      <c r="C28" s="49">
        <v>83</v>
      </c>
      <c r="D28" s="42" t="s">
        <v>1798</v>
      </c>
      <c r="E28" s="42" t="s">
        <v>453</v>
      </c>
      <c r="F28" s="43" t="s">
        <v>1830</v>
      </c>
      <c r="G28" s="44">
        <v>43924</v>
      </c>
      <c r="H28" s="45">
        <v>91695.22</v>
      </c>
      <c r="I28" s="55">
        <v>1392000</v>
      </c>
      <c r="J28" s="40" t="s">
        <v>1766</v>
      </c>
      <c r="K28" s="40">
        <v>193</v>
      </c>
      <c r="L28" s="42">
        <f t="shared" si="0"/>
        <v>27508.565999999999</v>
      </c>
      <c r="M28" s="42"/>
    </row>
    <row r="29" spans="1:13">
      <c r="A29" s="1011"/>
      <c r="B29" s="41" t="s">
        <v>1797</v>
      </c>
      <c r="C29" s="49">
        <v>58</v>
      </c>
      <c r="D29" s="42" t="s">
        <v>1798</v>
      </c>
      <c r="E29" s="42" t="s">
        <v>453</v>
      </c>
      <c r="F29" s="43" t="s">
        <v>1831</v>
      </c>
      <c r="G29" s="44">
        <v>43931</v>
      </c>
      <c r="H29" s="45">
        <v>99599.98</v>
      </c>
      <c r="I29" s="55">
        <v>1512000</v>
      </c>
      <c r="J29" s="40" t="s">
        <v>1766</v>
      </c>
      <c r="K29" s="40">
        <v>194</v>
      </c>
      <c r="L29" s="42">
        <f t="shared" si="0"/>
        <v>29879.993999999999</v>
      </c>
      <c r="M29" s="42"/>
    </row>
    <row r="30" spans="1:13">
      <c r="A30" s="1011"/>
      <c r="B30" s="41" t="s">
        <v>1829</v>
      </c>
      <c r="C30" s="49">
        <v>83</v>
      </c>
      <c r="D30" s="42" t="s">
        <v>1798</v>
      </c>
      <c r="E30" s="42" t="s">
        <v>453</v>
      </c>
      <c r="F30" s="43" t="s">
        <v>1832</v>
      </c>
      <c r="G30" s="44">
        <v>43943</v>
      </c>
      <c r="H30" s="45">
        <v>215520.65</v>
      </c>
      <c r="I30" s="55">
        <v>3271760</v>
      </c>
      <c r="J30" s="40" t="s">
        <v>1766</v>
      </c>
      <c r="K30" s="40">
        <v>195</v>
      </c>
      <c r="L30" s="42">
        <f t="shared" si="0"/>
        <v>64656.194999999992</v>
      </c>
      <c r="M30" s="42"/>
    </row>
    <row r="31" spans="1:13">
      <c r="A31" s="1011"/>
      <c r="B31" s="41" t="s">
        <v>1833</v>
      </c>
      <c r="C31" s="49" t="s">
        <v>1834</v>
      </c>
      <c r="D31" s="42" t="s">
        <v>1764</v>
      </c>
      <c r="E31" s="42" t="s">
        <v>453</v>
      </c>
      <c r="F31" s="43" t="s">
        <v>1835</v>
      </c>
      <c r="G31" s="44">
        <v>43948</v>
      </c>
      <c r="H31" s="45">
        <v>132831.57999999999</v>
      </c>
      <c r="I31" s="45">
        <v>18769.21</v>
      </c>
      <c r="J31" s="40" t="s">
        <v>296</v>
      </c>
      <c r="K31" s="40">
        <v>196</v>
      </c>
      <c r="L31" s="42">
        <f t="shared" si="0"/>
        <v>39849.473999999995</v>
      </c>
      <c r="M31" s="42"/>
    </row>
    <row r="32" spans="1:13" ht="24">
      <c r="A32" s="1011"/>
      <c r="B32" s="41" t="s">
        <v>1836</v>
      </c>
      <c r="C32" s="49" t="s">
        <v>1837</v>
      </c>
      <c r="D32" s="42" t="s">
        <v>1764</v>
      </c>
      <c r="E32" s="42" t="s">
        <v>453</v>
      </c>
      <c r="F32" s="43" t="s">
        <v>1838</v>
      </c>
      <c r="G32" s="44">
        <v>43934</v>
      </c>
      <c r="H32" s="45">
        <v>147300.57</v>
      </c>
      <c r="I32" s="45">
        <v>20813.689999999999</v>
      </c>
      <c r="J32" s="40" t="s">
        <v>296</v>
      </c>
      <c r="K32" s="40">
        <v>197</v>
      </c>
      <c r="L32" s="42">
        <f t="shared" si="0"/>
        <v>44190.171000000002</v>
      </c>
      <c r="M32" s="42"/>
    </row>
    <row r="33" spans="1:13">
      <c r="A33" s="1011"/>
      <c r="B33" s="41" t="s">
        <v>1839</v>
      </c>
      <c r="C33" s="40" t="s">
        <v>1840</v>
      </c>
      <c r="D33" s="42" t="s">
        <v>1764</v>
      </c>
      <c r="E33" s="42" t="s">
        <v>453</v>
      </c>
      <c r="F33" s="43" t="s">
        <v>1841</v>
      </c>
      <c r="G33" s="44">
        <v>43951</v>
      </c>
      <c r="H33" s="45">
        <v>179059.45</v>
      </c>
      <c r="I33" s="45">
        <v>25372.95</v>
      </c>
      <c r="J33" s="40" t="s">
        <v>296</v>
      </c>
      <c r="K33" s="40">
        <v>198</v>
      </c>
      <c r="L33" s="42">
        <f t="shared" si="0"/>
        <v>53717.834999999999</v>
      </c>
      <c r="M33" s="42"/>
    </row>
    <row r="34" spans="1:13" ht="36">
      <c r="A34" s="1011"/>
      <c r="B34" s="41" t="s">
        <v>1842</v>
      </c>
      <c r="C34" s="40" t="s">
        <v>1843</v>
      </c>
      <c r="D34" s="42" t="s">
        <v>1771</v>
      </c>
      <c r="E34" s="42" t="s">
        <v>383</v>
      </c>
      <c r="F34" s="43" t="s">
        <v>1844</v>
      </c>
      <c r="G34" s="44">
        <v>43930</v>
      </c>
      <c r="H34" s="45">
        <v>9434437.4199999999</v>
      </c>
      <c r="I34" s="45">
        <v>1208149.24</v>
      </c>
      <c r="J34" s="40" t="s">
        <v>306</v>
      </c>
      <c r="K34" s="40">
        <v>199</v>
      </c>
      <c r="L34" s="42">
        <f t="shared" si="0"/>
        <v>2830331.2259999998</v>
      </c>
      <c r="M34" s="42"/>
    </row>
    <row r="35" spans="1:13">
      <c r="A35" s="1011"/>
      <c r="B35" s="41" t="s">
        <v>1845</v>
      </c>
      <c r="C35" s="40" t="s">
        <v>1846</v>
      </c>
      <c r="D35" s="42" t="s">
        <v>1771</v>
      </c>
      <c r="E35" s="42" t="s">
        <v>383</v>
      </c>
      <c r="F35" s="43" t="s">
        <v>1847</v>
      </c>
      <c r="G35" s="44">
        <v>43944</v>
      </c>
      <c r="H35" s="45">
        <v>1302929.1499999999</v>
      </c>
      <c r="I35" s="45">
        <v>166849.68</v>
      </c>
      <c r="J35" s="40" t="s">
        <v>306</v>
      </c>
      <c r="K35" s="40">
        <v>200</v>
      </c>
      <c r="L35" s="42">
        <f t="shared" si="0"/>
        <v>390878.74499999994</v>
      </c>
      <c r="M35" s="42"/>
    </row>
    <row r="36" spans="1:13">
      <c r="A36" s="1011"/>
      <c r="B36" s="41" t="s">
        <v>1848</v>
      </c>
      <c r="C36" s="40" t="s">
        <v>1849</v>
      </c>
      <c r="D36" s="42" t="s">
        <v>1771</v>
      </c>
      <c r="E36" s="42" t="s">
        <v>383</v>
      </c>
      <c r="F36" s="43" t="s">
        <v>1850</v>
      </c>
      <c r="G36" s="44">
        <v>43938</v>
      </c>
      <c r="H36" s="45">
        <v>1302929.1499999999</v>
      </c>
      <c r="I36" s="45">
        <v>166849.68</v>
      </c>
      <c r="J36" s="40" t="s">
        <v>306</v>
      </c>
      <c r="K36" s="40">
        <v>201</v>
      </c>
      <c r="L36" s="42">
        <f t="shared" si="0"/>
        <v>390878.74499999994</v>
      </c>
      <c r="M36" s="42"/>
    </row>
    <row r="37" spans="1:13" ht="24">
      <c r="A37" s="1011"/>
      <c r="B37" s="47" t="s">
        <v>1851</v>
      </c>
      <c r="C37" s="40" t="s">
        <v>1817</v>
      </c>
      <c r="D37" s="42" t="s">
        <v>1771</v>
      </c>
      <c r="E37" s="42" t="s">
        <v>383</v>
      </c>
      <c r="F37" s="43" t="s">
        <v>1852</v>
      </c>
      <c r="G37" s="44">
        <v>43950</v>
      </c>
      <c r="H37" s="45">
        <v>5477817.7300000004</v>
      </c>
      <c r="I37" s="45">
        <v>701474.93</v>
      </c>
      <c r="J37" s="40" t="s">
        <v>306</v>
      </c>
      <c r="K37" s="40">
        <v>202</v>
      </c>
      <c r="L37" s="42">
        <f t="shared" si="0"/>
        <v>1643345.3190000001</v>
      </c>
      <c r="M37" s="42"/>
    </row>
    <row r="38" spans="1:13" ht="36">
      <c r="A38" s="1011"/>
      <c r="B38" s="47" t="s">
        <v>1853</v>
      </c>
      <c r="C38" s="40" t="s">
        <v>1854</v>
      </c>
      <c r="D38" s="42" t="s">
        <v>1771</v>
      </c>
      <c r="E38" s="42" t="s">
        <v>383</v>
      </c>
      <c r="F38" s="43" t="s">
        <v>1855</v>
      </c>
      <c r="G38" s="44">
        <v>43941</v>
      </c>
      <c r="H38" s="45">
        <v>6715686.8200000003</v>
      </c>
      <c r="I38" s="45">
        <v>859993.19</v>
      </c>
      <c r="J38" s="40" t="s">
        <v>306</v>
      </c>
      <c r="K38" s="40">
        <v>203</v>
      </c>
      <c r="L38" s="42">
        <f t="shared" si="0"/>
        <v>2014706.0460000001</v>
      </c>
      <c r="M38" s="42"/>
    </row>
    <row r="39" spans="1:13">
      <c r="A39" s="1011"/>
      <c r="B39" s="41" t="s">
        <v>1856</v>
      </c>
      <c r="C39" s="40" t="s">
        <v>1857</v>
      </c>
      <c r="D39" s="42" t="s">
        <v>1771</v>
      </c>
      <c r="E39" s="42" t="s">
        <v>383</v>
      </c>
      <c r="F39" s="43" t="s">
        <v>1858</v>
      </c>
      <c r="G39" s="44">
        <v>43951</v>
      </c>
      <c r="H39" s="45">
        <v>891843.18</v>
      </c>
      <c r="I39" s="45">
        <v>116210.15</v>
      </c>
      <c r="J39" s="40" t="s">
        <v>306</v>
      </c>
      <c r="K39" s="40">
        <v>204</v>
      </c>
      <c r="L39" s="42">
        <f t="shared" si="0"/>
        <v>267552.95400000003</v>
      </c>
      <c r="M39" s="42"/>
    </row>
    <row r="40" spans="1:13">
      <c r="A40" s="1011"/>
      <c r="B40" s="47" t="s">
        <v>1859</v>
      </c>
      <c r="C40" s="40" t="s">
        <v>1860</v>
      </c>
      <c r="D40" s="42" t="s">
        <v>1771</v>
      </c>
      <c r="E40" s="42" t="s">
        <v>383</v>
      </c>
      <c r="F40" s="43" t="s">
        <v>1861</v>
      </c>
      <c r="G40" s="44">
        <v>43951</v>
      </c>
      <c r="H40" s="45">
        <v>3018008.15</v>
      </c>
      <c r="I40" s="45">
        <v>393256.56</v>
      </c>
      <c r="J40" s="40" t="s">
        <v>306</v>
      </c>
      <c r="K40" s="40">
        <v>205</v>
      </c>
      <c r="L40" s="42">
        <f t="shared" si="0"/>
        <v>905402.44499999995</v>
      </c>
      <c r="M40" s="42"/>
    </row>
    <row r="41" spans="1:13">
      <c r="A41" s="1011"/>
      <c r="B41" s="42" t="s">
        <v>1862</v>
      </c>
      <c r="C41" s="40" t="s">
        <v>1863</v>
      </c>
      <c r="D41" s="42" t="s">
        <v>1764</v>
      </c>
      <c r="E41" s="42" t="s">
        <v>453</v>
      </c>
      <c r="F41" s="43" t="s">
        <v>1864</v>
      </c>
      <c r="G41" s="44">
        <v>43970</v>
      </c>
      <c r="H41" s="42">
        <v>402600</v>
      </c>
      <c r="I41" s="45">
        <v>11657.1</v>
      </c>
      <c r="J41" s="40" t="s">
        <v>296</v>
      </c>
      <c r="K41" s="40">
        <v>206</v>
      </c>
      <c r="L41" s="42">
        <f t="shared" si="0"/>
        <v>120780</v>
      </c>
      <c r="M41" s="42"/>
    </row>
    <row r="42" spans="1:13" ht="24">
      <c r="A42" s="1011"/>
      <c r="B42" s="42" t="s">
        <v>1865</v>
      </c>
      <c r="C42" s="40" t="s">
        <v>1866</v>
      </c>
      <c r="D42" s="42" t="s">
        <v>1764</v>
      </c>
      <c r="E42" s="42" t="s">
        <v>453</v>
      </c>
      <c r="F42" s="43" t="s">
        <v>1867</v>
      </c>
      <c r="G42" s="44">
        <v>43980</v>
      </c>
      <c r="H42" s="45">
        <v>177826.28</v>
      </c>
      <c r="I42" s="45">
        <v>25155.79</v>
      </c>
      <c r="J42" s="40" t="s">
        <v>296</v>
      </c>
      <c r="K42" s="40">
        <v>207</v>
      </c>
      <c r="L42" s="42">
        <f t="shared" si="0"/>
        <v>53347.883999999998</v>
      </c>
      <c r="M42" s="42"/>
    </row>
    <row r="43" spans="1:13">
      <c r="A43" s="1011"/>
      <c r="B43" s="42" t="s">
        <v>1868</v>
      </c>
      <c r="C43" s="40" t="s">
        <v>1869</v>
      </c>
      <c r="D43" s="42" t="s">
        <v>1771</v>
      </c>
      <c r="E43" s="42" t="s">
        <v>383</v>
      </c>
      <c r="F43" s="43" t="s">
        <v>1870</v>
      </c>
      <c r="G43" s="44">
        <v>43978</v>
      </c>
      <c r="H43" s="45">
        <v>3482341.52</v>
      </c>
      <c r="I43" s="45">
        <v>454661.26</v>
      </c>
      <c r="J43" s="40" t="s">
        <v>306</v>
      </c>
      <c r="K43" s="40">
        <v>208</v>
      </c>
      <c r="L43" s="42">
        <f t="shared" si="0"/>
        <v>1044702.456</v>
      </c>
      <c r="M43" s="42"/>
    </row>
    <row r="44" spans="1:13" ht="36">
      <c r="A44" s="1011"/>
      <c r="B44" s="47" t="s">
        <v>1871</v>
      </c>
      <c r="C44" s="40" t="s">
        <v>1872</v>
      </c>
      <c r="D44" s="42" t="s">
        <v>1771</v>
      </c>
      <c r="E44" s="42" t="s">
        <v>383</v>
      </c>
      <c r="F44" s="43" t="s">
        <v>1873</v>
      </c>
      <c r="G44" s="44">
        <v>43958</v>
      </c>
      <c r="H44" s="45">
        <v>7013798.7400000002</v>
      </c>
      <c r="I44" s="45">
        <v>915735.16</v>
      </c>
      <c r="J44" s="40" t="s">
        <v>306</v>
      </c>
      <c r="K44" s="40">
        <v>209</v>
      </c>
      <c r="L44" s="42">
        <f t="shared" si="0"/>
        <v>2104139.622</v>
      </c>
      <c r="M44" s="42"/>
    </row>
    <row r="45" spans="1:13" ht="48">
      <c r="A45" s="1011"/>
      <c r="B45" s="47" t="s">
        <v>1874</v>
      </c>
      <c r="C45" s="40" t="s">
        <v>1872</v>
      </c>
      <c r="D45" s="42" t="s">
        <v>1771</v>
      </c>
      <c r="E45" s="42" t="s">
        <v>383</v>
      </c>
      <c r="F45" s="43" t="s">
        <v>1875</v>
      </c>
      <c r="G45" s="44">
        <v>43969</v>
      </c>
      <c r="H45" s="45">
        <v>5871191.8499999996</v>
      </c>
      <c r="I45" s="45">
        <v>766554.19</v>
      </c>
      <c r="J45" s="40" t="s">
        <v>306</v>
      </c>
      <c r="K45" s="40">
        <v>210</v>
      </c>
      <c r="L45" s="42">
        <f t="shared" si="0"/>
        <v>1761357.5549999999</v>
      </c>
      <c r="M45" s="42"/>
    </row>
    <row r="46" spans="1:13" ht="24">
      <c r="A46" s="1011"/>
      <c r="B46" s="41" t="s">
        <v>1876</v>
      </c>
      <c r="C46" s="40" t="s">
        <v>1877</v>
      </c>
      <c r="D46" s="42" t="s">
        <v>1798</v>
      </c>
      <c r="E46" s="42" t="s">
        <v>453</v>
      </c>
      <c r="F46" s="43" t="s">
        <v>1878</v>
      </c>
      <c r="G46" s="44">
        <v>43654</v>
      </c>
      <c r="H46" s="45">
        <v>978150.3</v>
      </c>
      <c r="I46" s="55">
        <v>15422400</v>
      </c>
      <c r="J46" s="40" t="s">
        <v>1766</v>
      </c>
      <c r="K46" s="40">
        <v>211</v>
      </c>
      <c r="L46" s="42">
        <f t="shared" si="0"/>
        <v>293445.09000000003</v>
      </c>
      <c r="M46" s="42"/>
    </row>
    <row r="47" spans="1:13">
      <c r="A47" s="1011"/>
      <c r="B47" s="41" t="s">
        <v>1879</v>
      </c>
      <c r="C47" s="40">
        <v>102</v>
      </c>
      <c r="D47" s="42" t="s">
        <v>1880</v>
      </c>
      <c r="E47" s="42" t="s">
        <v>453</v>
      </c>
      <c r="F47" s="43" t="s">
        <v>1881</v>
      </c>
      <c r="G47" s="44">
        <v>43654</v>
      </c>
      <c r="H47" s="45">
        <v>314171.42</v>
      </c>
      <c r="I47" s="55">
        <v>4953510</v>
      </c>
      <c r="J47" s="40" t="s">
        <v>1766</v>
      </c>
      <c r="K47" s="40">
        <v>212</v>
      </c>
      <c r="L47" s="42">
        <f t="shared" si="0"/>
        <v>94251.425999999992</v>
      </c>
      <c r="M47" s="42"/>
    </row>
    <row r="48" spans="1:13">
      <c r="A48" s="1011"/>
      <c r="B48" s="41" t="s">
        <v>1882</v>
      </c>
      <c r="C48" s="40">
        <v>103</v>
      </c>
      <c r="D48" s="42" t="s">
        <v>1798</v>
      </c>
      <c r="E48" s="42" t="s">
        <v>453</v>
      </c>
      <c r="F48" s="43" t="s">
        <v>1883</v>
      </c>
      <c r="G48" s="44">
        <v>43654</v>
      </c>
      <c r="H48" s="45">
        <v>70606.77</v>
      </c>
      <c r="I48" s="55">
        <v>1113250</v>
      </c>
      <c r="J48" s="40" t="s">
        <v>1766</v>
      </c>
      <c r="K48" s="40">
        <v>213</v>
      </c>
      <c r="L48" s="42">
        <f t="shared" si="0"/>
        <v>21182.030999999999</v>
      </c>
      <c r="M48" s="42"/>
    </row>
    <row r="49" spans="1:13">
      <c r="A49" s="1011"/>
      <c r="B49" s="41" t="s">
        <v>1884</v>
      </c>
      <c r="C49" s="40">
        <v>104</v>
      </c>
      <c r="D49" s="42" t="s">
        <v>1798</v>
      </c>
      <c r="E49" s="42" t="s">
        <v>453</v>
      </c>
      <c r="F49" s="43" t="s">
        <v>1885</v>
      </c>
      <c r="G49" s="44">
        <v>43669</v>
      </c>
      <c r="H49" s="45">
        <v>54341.68</v>
      </c>
      <c r="I49" s="55">
        <v>856800</v>
      </c>
      <c r="J49" s="40" t="s">
        <v>1766</v>
      </c>
      <c r="K49" s="40">
        <v>214</v>
      </c>
      <c r="L49" s="42">
        <f t="shared" si="0"/>
        <v>16302.503999999999</v>
      </c>
      <c r="M49" s="42"/>
    </row>
    <row r="50" spans="1:13">
      <c r="A50" s="1011"/>
      <c r="B50" s="41" t="s">
        <v>1879</v>
      </c>
      <c r="C50" s="40">
        <v>102</v>
      </c>
      <c r="D50" s="42" t="s">
        <v>1798</v>
      </c>
      <c r="E50" s="42" t="s">
        <v>453</v>
      </c>
      <c r="F50" s="43" t="s">
        <v>1886</v>
      </c>
      <c r="G50" s="44">
        <v>43669</v>
      </c>
      <c r="H50" s="45">
        <v>733066.64</v>
      </c>
      <c r="I50" s="55">
        <v>11558190</v>
      </c>
      <c r="J50" s="40" t="s">
        <v>1766</v>
      </c>
      <c r="K50" s="40">
        <v>215</v>
      </c>
      <c r="L50" s="42">
        <f t="shared" si="0"/>
        <v>219919.992</v>
      </c>
      <c r="M50" s="42"/>
    </row>
    <row r="51" spans="1:13" s="37" customFormat="1">
      <c r="A51" s="1011"/>
      <c r="B51" s="50" t="s">
        <v>1887</v>
      </c>
      <c r="C51" s="51">
        <v>105</v>
      </c>
      <c r="D51" s="50" t="s">
        <v>1888</v>
      </c>
      <c r="E51" s="42" t="s">
        <v>453</v>
      </c>
      <c r="F51" s="52" t="s">
        <v>1889</v>
      </c>
      <c r="G51" s="53">
        <v>43669</v>
      </c>
      <c r="H51" s="54">
        <v>6172.74</v>
      </c>
      <c r="I51" s="56">
        <v>97325</v>
      </c>
      <c r="J51" s="51" t="s">
        <v>1766</v>
      </c>
      <c r="K51" s="40">
        <v>216</v>
      </c>
      <c r="L51" s="42">
        <f t="shared" si="0"/>
        <v>1851.8219999999999</v>
      </c>
      <c r="M51" s="56"/>
    </row>
    <row r="52" spans="1:13">
      <c r="A52" s="1011"/>
      <c r="B52" s="46" t="s">
        <v>1890</v>
      </c>
      <c r="C52" s="40">
        <v>106</v>
      </c>
      <c r="D52" s="42" t="s">
        <v>1771</v>
      </c>
      <c r="E52" s="42" t="s">
        <v>383</v>
      </c>
      <c r="F52" s="43" t="s">
        <v>1891</v>
      </c>
      <c r="G52" s="44">
        <v>43648</v>
      </c>
      <c r="H52" s="45">
        <v>1035718.96</v>
      </c>
      <c r="I52" s="45">
        <v>150724.57</v>
      </c>
      <c r="J52" s="40" t="s">
        <v>296</v>
      </c>
      <c r="K52" s="40">
        <v>217</v>
      </c>
      <c r="L52" s="42">
        <f t="shared" si="0"/>
        <v>310715.68799999997</v>
      </c>
      <c r="M52" s="42"/>
    </row>
    <row r="53" spans="1:13">
      <c r="A53" s="1011"/>
      <c r="B53" s="46" t="s">
        <v>1892</v>
      </c>
      <c r="C53" s="40" t="s">
        <v>1893</v>
      </c>
      <c r="D53" s="42" t="s">
        <v>1771</v>
      </c>
      <c r="E53" s="42" t="s">
        <v>383</v>
      </c>
      <c r="F53" s="43" t="s">
        <v>1894</v>
      </c>
      <c r="G53" s="44">
        <v>43672</v>
      </c>
      <c r="H53" s="45">
        <v>2327292.09</v>
      </c>
      <c r="I53" s="45">
        <v>297992.56</v>
      </c>
      <c r="J53" s="40" t="s">
        <v>306</v>
      </c>
      <c r="K53" s="40">
        <v>218</v>
      </c>
      <c r="L53" s="42">
        <f t="shared" si="0"/>
        <v>698187.62699999998</v>
      </c>
      <c r="M53" s="42"/>
    </row>
    <row r="54" spans="1:13">
      <c r="A54" s="1011"/>
      <c r="B54" s="46" t="s">
        <v>1895</v>
      </c>
      <c r="C54" s="40" t="s">
        <v>1896</v>
      </c>
      <c r="D54" s="42" t="s">
        <v>1771</v>
      </c>
      <c r="E54" s="42" t="s">
        <v>383</v>
      </c>
      <c r="F54" s="43" t="s">
        <v>1897</v>
      </c>
      <c r="G54" s="44">
        <v>43665</v>
      </c>
      <c r="H54" s="45">
        <v>2016139.74</v>
      </c>
      <c r="I54" s="45">
        <v>258151.8</v>
      </c>
      <c r="J54" s="40" t="s">
        <v>306</v>
      </c>
      <c r="K54" s="40">
        <v>219</v>
      </c>
      <c r="L54" s="42">
        <f t="shared" si="0"/>
        <v>604841.92200000002</v>
      </c>
      <c r="M54" s="42"/>
    </row>
    <row r="55" spans="1:13">
      <c r="A55" s="1011"/>
      <c r="B55" s="46" t="s">
        <v>1898</v>
      </c>
      <c r="C55" s="40">
        <v>112</v>
      </c>
      <c r="D55" s="42" t="s">
        <v>1771</v>
      </c>
      <c r="E55" s="42" t="s">
        <v>383</v>
      </c>
      <c r="F55" s="43" t="s">
        <v>1899</v>
      </c>
      <c r="G55" s="44">
        <v>43671</v>
      </c>
      <c r="H55" s="45">
        <v>376999.48</v>
      </c>
      <c r="I55" s="45">
        <v>54863.42</v>
      </c>
      <c r="J55" s="40" t="s">
        <v>296</v>
      </c>
      <c r="K55" s="40">
        <v>220</v>
      </c>
      <c r="L55" s="42">
        <f t="shared" si="0"/>
        <v>113099.844</v>
      </c>
      <c r="M55" s="42"/>
    </row>
    <row r="56" spans="1:13">
      <c r="A56" s="1011"/>
      <c r="B56" s="46" t="s">
        <v>1900</v>
      </c>
      <c r="C56" s="40">
        <v>113</v>
      </c>
      <c r="D56" s="42" t="s">
        <v>1771</v>
      </c>
      <c r="E56" s="42" t="s">
        <v>383</v>
      </c>
      <c r="F56" s="43" t="s">
        <v>1901</v>
      </c>
      <c r="G56" s="44">
        <v>43677</v>
      </c>
      <c r="H56" s="45">
        <v>624814.68000000005</v>
      </c>
      <c r="I56" s="45">
        <v>90762</v>
      </c>
      <c r="J56" s="40" t="s">
        <v>296</v>
      </c>
      <c r="K56" s="40">
        <v>221</v>
      </c>
      <c r="L56" s="42">
        <f t="shared" si="0"/>
        <v>187444.40400000001</v>
      </c>
      <c r="M56" s="42"/>
    </row>
    <row r="57" spans="1:13">
      <c r="A57" s="1011"/>
      <c r="B57" s="41" t="s">
        <v>1902</v>
      </c>
      <c r="C57" s="40" t="s">
        <v>1869</v>
      </c>
      <c r="D57" s="42" t="s">
        <v>1771</v>
      </c>
      <c r="E57" s="42" t="s">
        <v>383</v>
      </c>
      <c r="F57" s="43" t="s">
        <v>1903</v>
      </c>
      <c r="G57" s="44">
        <v>44000</v>
      </c>
      <c r="H57" s="45">
        <v>3442305.36</v>
      </c>
      <c r="I57" s="45">
        <v>434091.9</v>
      </c>
      <c r="J57" s="40" t="s">
        <v>306</v>
      </c>
      <c r="K57" s="40">
        <v>222</v>
      </c>
      <c r="L57" s="42">
        <f t="shared" si="0"/>
        <v>1032691.6079999999</v>
      </c>
      <c r="M57" s="42"/>
    </row>
    <row r="58" spans="1:13">
      <c r="A58" s="1011"/>
      <c r="B58" s="41" t="s">
        <v>1904</v>
      </c>
      <c r="C58" s="40" t="s">
        <v>1905</v>
      </c>
      <c r="D58" s="42" t="s">
        <v>1906</v>
      </c>
      <c r="E58" s="42" t="s">
        <v>453</v>
      </c>
      <c r="F58" s="43" t="s">
        <v>1907</v>
      </c>
      <c r="G58" s="44">
        <v>43991</v>
      </c>
      <c r="H58" s="45">
        <v>38350.35</v>
      </c>
      <c r="I58" s="45">
        <v>5377.6</v>
      </c>
      <c r="J58" s="40" t="s">
        <v>296</v>
      </c>
      <c r="K58" s="40">
        <v>223</v>
      </c>
      <c r="L58" s="42">
        <f t="shared" si="0"/>
        <v>11505.105</v>
      </c>
      <c r="M58" s="42"/>
    </row>
    <row r="59" spans="1:13">
      <c r="A59" s="1011"/>
      <c r="B59" s="41" t="s">
        <v>1908</v>
      </c>
      <c r="C59" s="40" t="s">
        <v>1909</v>
      </c>
      <c r="D59" s="42" t="s">
        <v>1764</v>
      </c>
      <c r="E59" s="42" t="s">
        <v>453</v>
      </c>
      <c r="F59" s="43" t="s">
        <v>1910</v>
      </c>
      <c r="G59" s="44">
        <v>43987</v>
      </c>
      <c r="H59" s="45">
        <v>46062.29</v>
      </c>
      <c r="I59" s="45">
        <v>6458.99</v>
      </c>
      <c r="J59" s="40" t="s">
        <v>296</v>
      </c>
      <c r="K59" s="40">
        <v>224</v>
      </c>
      <c r="L59" s="42">
        <f t="shared" si="0"/>
        <v>13818.687</v>
      </c>
      <c r="M59" s="42"/>
    </row>
    <row r="60" spans="1:13">
      <c r="A60" s="1011"/>
      <c r="B60" s="41" t="s">
        <v>1911</v>
      </c>
      <c r="C60" s="40">
        <v>123</v>
      </c>
      <c r="D60" s="42" t="s">
        <v>1912</v>
      </c>
      <c r="E60" s="42" t="s">
        <v>453</v>
      </c>
      <c r="F60" s="43" t="s">
        <v>1913</v>
      </c>
      <c r="G60" s="44">
        <v>43990</v>
      </c>
      <c r="H60" s="45">
        <v>17789.97</v>
      </c>
      <c r="I60" s="55">
        <v>268755</v>
      </c>
      <c r="J60" s="40" t="s">
        <v>1766</v>
      </c>
      <c r="K60" s="40">
        <v>225</v>
      </c>
      <c r="L60" s="42">
        <f t="shared" si="0"/>
        <v>5336.991</v>
      </c>
      <c r="M60" s="42"/>
    </row>
    <row r="61" spans="1:13">
      <c r="A61" s="1011"/>
      <c r="B61" s="41" t="s">
        <v>1914</v>
      </c>
      <c r="C61" s="40">
        <v>124</v>
      </c>
      <c r="D61" s="42" t="s">
        <v>1798</v>
      </c>
      <c r="E61" s="42" t="s">
        <v>453</v>
      </c>
      <c r="F61" s="43" t="s">
        <v>1915</v>
      </c>
      <c r="G61" s="44">
        <v>43990</v>
      </c>
      <c r="H61" s="45">
        <v>170727.56</v>
      </c>
      <c r="I61" s="55">
        <v>2579200</v>
      </c>
      <c r="J61" s="40" t="s">
        <v>1766</v>
      </c>
      <c r="K61" s="40" t="s">
        <v>1916</v>
      </c>
      <c r="L61" s="42">
        <f t="shared" si="0"/>
        <v>51218.267999999996</v>
      </c>
      <c r="M61" s="42"/>
    </row>
    <row r="62" spans="1:13">
      <c r="A62" s="1011"/>
      <c r="B62" s="41" t="s">
        <v>1917</v>
      </c>
      <c r="C62" s="40" t="s">
        <v>1918</v>
      </c>
      <c r="D62" s="42" t="s">
        <v>1798</v>
      </c>
      <c r="E62" s="42" t="s">
        <v>453</v>
      </c>
      <c r="F62" s="43" t="s">
        <v>1919</v>
      </c>
      <c r="G62" s="44">
        <v>44012</v>
      </c>
      <c r="H62" s="45">
        <v>234887.18</v>
      </c>
      <c r="I62" s="55">
        <v>3569280</v>
      </c>
      <c r="J62" s="40" t="s">
        <v>1766</v>
      </c>
      <c r="K62" s="40">
        <v>228</v>
      </c>
      <c r="L62" s="42">
        <f t="shared" si="0"/>
        <v>70466.153999999995</v>
      </c>
      <c r="M62" s="42"/>
    </row>
    <row r="63" spans="1:13" ht="24">
      <c r="A63" s="1011"/>
      <c r="B63" s="41" t="s">
        <v>1920</v>
      </c>
      <c r="C63" s="40" t="s">
        <v>1921</v>
      </c>
      <c r="D63" s="42" t="s">
        <v>1764</v>
      </c>
      <c r="E63" s="42" t="s">
        <v>453</v>
      </c>
      <c r="F63" s="43" t="s">
        <v>1922</v>
      </c>
      <c r="G63" s="44">
        <v>43997</v>
      </c>
      <c r="H63" s="45">
        <v>128672.87</v>
      </c>
      <c r="I63" s="45">
        <v>18042.89</v>
      </c>
      <c r="J63" s="40" t="s">
        <v>296</v>
      </c>
      <c r="K63" s="40">
        <v>229</v>
      </c>
      <c r="L63" s="42">
        <f t="shared" si="0"/>
        <v>38601.860999999997</v>
      </c>
      <c r="M63" s="42"/>
    </row>
    <row r="64" spans="1:13">
      <c r="A64" s="1011"/>
      <c r="B64" s="41" t="s">
        <v>1904</v>
      </c>
      <c r="C64" s="40" t="s">
        <v>1905</v>
      </c>
      <c r="D64" s="42" t="s">
        <v>1923</v>
      </c>
      <c r="E64" s="42" t="s">
        <v>453</v>
      </c>
      <c r="F64" s="43" t="s">
        <v>1924</v>
      </c>
      <c r="G64" s="44">
        <v>44006</v>
      </c>
      <c r="H64" s="45">
        <v>89645.81</v>
      </c>
      <c r="I64" s="45">
        <v>12570.4</v>
      </c>
      <c r="J64" s="40" t="s">
        <v>296</v>
      </c>
      <c r="K64" s="40">
        <v>230</v>
      </c>
      <c r="L64" s="42">
        <f t="shared" si="0"/>
        <v>26893.742999999999</v>
      </c>
      <c r="M64" s="42"/>
    </row>
    <row r="65" spans="1:13" ht="24">
      <c r="A65" s="1011"/>
      <c r="B65" s="47" t="s">
        <v>1925</v>
      </c>
      <c r="C65" s="40" t="s">
        <v>1926</v>
      </c>
      <c r="D65" s="42" t="s">
        <v>1771</v>
      </c>
      <c r="E65" s="42" t="s">
        <v>383</v>
      </c>
      <c r="F65" s="43" t="s">
        <v>1927</v>
      </c>
      <c r="G65" s="44">
        <v>44012</v>
      </c>
      <c r="H65" s="45">
        <v>4973227.07</v>
      </c>
      <c r="I65" s="45">
        <v>624698.79</v>
      </c>
      <c r="J65" s="40" t="s">
        <v>306</v>
      </c>
      <c r="K65" s="40">
        <v>231</v>
      </c>
      <c r="L65" s="42">
        <f t="shared" si="0"/>
        <v>1491968.121</v>
      </c>
      <c r="M65" s="42"/>
    </row>
    <row r="66" spans="1:13">
      <c r="A66" s="1011"/>
      <c r="B66" s="46" t="s">
        <v>1898</v>
      </c>
      <c r="C66" s="40">
        <v>112</v>
      </c>
      <c r="D66" s="42" t="s">
        <v>1771</v>
      </c>
      <c r="E66" s="42" t="s">
        <v>383</v>
      </c>
      <c r="F66" s="43" t="s">
        <v>1928</v>
      </c>
      <c r="G66" s="44">
        <v>43697</v>
      </c>
      <c r="H66" s="45">
        <v>883047.39</v>
      </c>
      <c r="I66" s="45">
        <v>128092.98</v>
      </c>
      <c r="J66" s="40" t="s">
        <v>296</v>
      </c>
      <c r="K66" s="40">
        <v>232</v>
      </c>
      <c r="L66" s="42">
        <f t="shared" si="0"/>
        <v>264914.217</v>
      </c>
      <c r="M66" s="42"/>
    </row>
    <row r="67" spans="1:13">
      <c r="A67" s="1011"/>
      <c r="B67" s="46" t="s">
        <v>1929</v>
      </c>
      <c r="C67" s="40" t="s">
        <v>1930</v>
      </c>
      <c r="D67" s="42" t="s">
        <v>1771</v>
      </c>
      <c r="E67" s="42" t="s">
        <v>383</v>
      </c>
      <c r="F67" s="43" t="s">
        <v>1931</v>
      </c>
      <c r="G67" s="44">
        <v>43693</v>
      </c>
      <c r="H67" s="45">
        <v>1872563.78</v>
      </c>
      <c r="I67" s="45">
        <v>245241.21</v>
      </c>
      <c r="J67" s="40" t="s">
        <v>306</v>
      </c>
      <c r="K67" s="40">
        <v>233</v>
      </c>
      <c r="L67" s="42">
        <f t="shared" ref="L67:L112" si="1">H67*0.3</f>
        <v>561769.13399999996</v>
      </c>
      <c r="M67" s="42"/>
    </row>
    <row r="68" spans="1:13">
      <c r="A68" s="1011"/>
      <c r="B68" s="41" t="s">
        <v>1932</v>
      </c>
      <c r="C68" s="40" t="s">
        <v>1896</v>
      </c>
      <c r="D68" s="42" t="s">
        <v>1771</v>
      </c>
      <c r="E68" s="42" t="s">
        <v>383</v>
      </c>
      <c r="F68" s="43" t="s">
        <v>1933</v>
      </c>
      <c r="G68" s="44">
        <v>43704</v>
      </c>
      <c r="H68" s="45">
        <v>1609683.51</v>
      </c>
      <c r="I68" s="45">
        <v>210812.97</v>
      </c>
      <c r="J68" s="40" t="s">
        <v>306</v>
      </c>
      <c r="K68" s="40">
        <v>234</v>
      </c>
      <c r="L68" s="42">
        <f t="shared" si="1"/>
        <v>482905.05299999996</v>
      </c>
      <c r="M68" s="42"/>
    </row>
    <row r="69" spans="1:13">
      <c r="A69" s="1011"/>
      <c r="B69" s="46" t="s">
        <v>1900</v>
      </c>
      <c r="C69" s="40">
        <v>113</v>
      </c>
      <c r="D69" s="42" t="s">
        <v>1771</v>
      </c>
      <c r="E69" s="42" t="s">
        <v>383</v>
      </c>
      <c r="F69" s="43" t="s">
        <v>1934</v>
      </c>
      <c r="G69" s="44">
        <v>43690</v>
      </c>
      <c r="H69" s="45">
        <v>1460318.48</v>
      </c>
      <c r="I69" s="45">
        <v>211830.7</v>
      </c>
      <c r="J69" s="40" t="s">
        <v>296</v>
      </c>
      <c r="K69" s="40">
        <v>235</v>
      </c>
      <c r="L69" s="42">
        <f t="shared" si="1"/>
        <v>438095.54399999999</v>
      </c>
      <c r="M69" s="42"/>
    </row>
    <row r="70" spans="1:13">
      <c r="A70" s="1011"/>
      <c r="B70" s="41" t="s">
        <v>1935</v>
      </c>
      <c r="C70" s="40" t="s">
        <v>1936</v>
      </c>
      <c r="D70" s="42" t="s">
        <v>1798</v>
      </c>
      <c r="E70" s="42" t="s">
        <v>453</v>
      </c>
      <c r="F70" s="43" t="s">
        <v>1937</v>
      </c>
      <c r="G70" s="44">
        <v>43686</v>
      </c>
      <c r="H70" s="45">
        <v>422159.35999999999</v>
      </c>
      <c r="I70" s="55">
        <v>6658560</v>
      </c>
      <c r="J70" s="40" t="s">
        <v>1766</v>
      </c>
      <c r="K70" s="40">
        <v>236</v>
      </c>
      <c r="L70" s="42">
        <f t="shared" si="1"/>
        <v>126647.80799999999</v>
      </c>
      <c r="M70" s="42"/>
    </row>
    <row r="71" spans="1:13">
      <c r="A71" s="1011"/>
      <c r="B71" s="41" t="s">
        <v>1938</v>
      </c>
      <c r="C71" s="40">
        <v>133</v>
      </c>
      <c r="D71" s="42" t="s">
        <v>1880</v>
      </c>
      <c r="E71" s="42" t="s">
        <v>453</v>
      </c>
      <c r="F71" s="43" t="s">
        <v>1939</v>
      </c>
      <c r="G71" s="44">
        <v>43686</v>
      </c>
      <c r="H71" s="45">
        <v>37872.33</v>
      </c>
      <c r="I71" s="55">
        <v>597346</v>
      </c>
      <c r="J71" s="40" t="s">
        <v>1766</v>
      </c>
      <c r="K71" s="40">
        <v>237</v>
      </c>
      <c r="L71" s="42">
        <f t="shared" si="1"/>
        <v>11361.699000000001</v>
      </c>
      <c r="M71" s="42"/>
    </row>
    <row r="72" spans="1:13" ht="24">
      <c r="A72" s="1011"/>
      <c r="B72" s="41" t="s">
        <v>1940</v>
      </c>
      <c r="C72" s="40" t="s">
        <v>1941</v>
      </c>
      <c r="D72" s="42" t="s">
        <v>1880</v>
      </c>
      <c r="E72" s="42" t="s">
        <v>453</v>
      </c>
      <c r="F72" s="43" t="s">
        <v>1942</v>
      </c>
      <c r="G72" s="44">
        <v>43686</v>
      </c>
      <c r="H72" s="45">
        <v>153151.46</v>
      </c>
      <c r="I72" s="55">
        <v>2415600</v>
      </c>
      <c r="J72" s="40" t="s">
        <v>1766</v>
      </c>
      <c r="K72" s="40">
        <v>238</v>
      </c>
      <c r="L72" s="42">
        <f t="shared" si="1"/>
        <v>45945.437999999995</v>
      </c>
      <c r="M72" s="42"/>
    </row>
    <row r="73" spans="1:13">
      <c r="A73" s="1011"/>
      <c r="B73" s="41" t="s">
        <v>1943</v>
      </c>
      <c r="C73" s="40">
        <v>136</v>
      </c>
      <c r="D73" s="42" t="s">
        <v>1798</v>
      </c>
      <c r="E73" s="42" t="s">
        <v>453</v>
      </c>
      <c r="F73" s="43" t="s">
        <v>1944</v>
      </c>
      <c r="G73" s="44">
        <v>43689</v>
      </c>
      <c r="H73" s="45">
        <v>59160.74</v>
      </c>
      <c r="I73" s="55">
        <v>933120</v>
      </c>
      <c r="J73" s="40" t="s">
        <v>1766</v>
      </c>
      <c r="K73" s="40">
        <v>239</v>
      </c>
      <c r="L73" s="42">
        <f t="shared" si="1"/>
        <v>17748.221999999998</v>
      </c>
      <c r="M73" s="42"/>
    </row>
    <row r="74" spans="1:13">
      <c r="A74" s="1011"/>
      <c r="B74" s="46" t="s">
        <v>1945</v>
      </c>
      <c r="C74" s="40">
        <v>137</v>
      </c>
      <c r="D74" s="42" t="s">
        <v>1912</v>
      </c>
      <c r="E74" s="42"/>
      <c r="F74" s="43" t="s">
        <v>1946</v>
      </c>
      <c r="G74" s="44">
        <v>43689</v>
      </c>
      <c r="H74" s="45">
        <v>52724.27</v>
      </c>
      <c r="I74" s="55">
        <v>831600</v>
      </c>
      <c r="J74" s="40" t="s">
        <v>1766</v>
      </c>
      <c r="K74" s="40">
        <v>240</v>
      </c>
      <c r="L74" s="42">
        <f t="shared" si="1"/>
        <v>15817.280999999999</v>
      </c>
      <c r="M74" s="42"/>
    </row>
    <row r="75" spans="1:13" ht="24">
      <c r="A75" s="1011"/>
      <c r="B75" s="41" t="s">
        <v>1947</v>
      </c>
      <c r="C75" s="40" t="s">
        <v>1948</v>
      </c>
      <c r="D75" s="42" t="s">
        <v>1771</v>
      </c>
      <c r="E75" s="42" t="s">
        <v>383</v>
      </c>
      <c r="F75" s="43" t="s">
        <v>1949</v>
      </c>
      <c r="G75" s="44">
        <v>43706</v>
      </c>
      <c r="H75" s="45">
        <v>3351265.3</v>
      </c>
      <c r="I75" s="45">
        <v>438900.06</v>
      </c>
      <c r="J75" s="40" t="s">
        <v>306</v>
      </c>
      <c r="K75" s="40">
        <v>241</v>
      </c>
      <c r="L75" s="42">
        <f t="shared" si="1"/>
        <v>1005379.5899999999</v>
      </c>
      <c r="M75" s="42"/>
    </row>
    <row r="76" spans="1:13" ht="36">
      <c r="A76" s="1011"/>
      <c r="B76" s="41" t="s">
        <v>1950</v>
      </c>
      <c r="C76" s="40" t="s">
        <v>1951</v>
      </c>
      <c r="D76" s="42" t="s">
        <v>1798</v>
      </c>
      <c r="E76" s="42" t="s">
        <v>453</v>
      </c>
      <c r="F76" s="43" t="s">
        <v>1952</v>
      </c>
      <c r="G76" s="44">
        <v>43703</v>
      </c>
      <c r="H76" s="45">
        <v>1110471.05</v>
      </c>
      <c r="I76" s="55">
        <v>17515040</v>
      </c>
      <c r="J76" s="40" t="s">
        <v>1766</v>
      </c>
      <c r="K76" s="40" t="s">
        <v>1953</v>
      </c>
      <c r="L76" s="42">
        <f t="shared" si="1"/>
        <v>333141.315</v>
      </c>
      <c r="M76" s="42"/>
    </row>
    <row r="77" spans="1:13">
      <c r="A77" s="1011"/>
      <c r="B77" s="46" t="s">
        <v>1954</v>
      </c>
      <c r="C77" s="40">
        <v>141</v>
      </c>
      <c r="D77" s="42" t="s">
        <v>1771</v>
      </c>
      <c r="E77" s="42" t="s">
        <v>383</v>
      </c>
      <c r="F77" s="43" t="s">
        <v>1955</v>
      </c>
      <c r="G77" s="44">
        <v>43711</v>
      </c>
      <c r="H77" s="45">
        <v>322809.96999999997</v>
      </c>
      <c r="I77" s="45">
        <v>45541.24</v>
      </c>
      <c r="J77" s="40" t="s">
        <v>296</v>
      </c>
      <c r="K77" s="40">
        <v>244</v>
      </c>
      <c r="L77" s="42">
        <f t="shared" si="1"/>
        <v>96842.990999999995</v>
      </c>
      <c r="M77" s="42"/>
    </row>
    <row r="78" spans="1:13">
      <c r="A78" s="1011"/>
      <c r="B78" s="41" t="s">
        <v>1956</v>
      </c>
      <c r="C78" s="40" t="s">
        <v>1930</v>
      </c>
      <c r="D78" s="42" t="s">
        <v>1771</v>
      </c>
      <c r="E78" s="42" t="s">
        <v>383</v>
      </c>
      <c r="F78" s="43" t="s">
        <v>1957</v>
      </c>
      <c r="G78" s="44">
        <v>43724</v>
      </c>
      <c r="H78" s="45">
        <v>2353867.54</v>
      </c>
      <c r="I78" s="45">
        <v>301187.09999999998</v>
      </c>
      <c r="J78" s="40" t="s">
        <v>306</v>
      </c>
      <c r="K78" s="40">
        <v>245</v>
      </c>
      <c r="L78" s="42">
        <f t="shared" si="1"/>
        <v>706160.26199999999</v>
      </c>
      <c r="M78" s="42"/>
    </row>
    <row r="79" spans="1:13">
      <c r="A79" s="1011"/>
      <c r="B79" s="41" t="s">
        <v>1958</v>
      </c>
      <c r="C79" s="40" t="s">
        <v>1959</v>
      </c>
      <c r="D79" s="42" t="s">
        <v>1771</v>
      </c>
      <c r="E79" s="42" t="s">
        <v>383</v>
      </c>
      <c r="F79" s="43" t="s">
        <v>1960</v>
      </c>
      <c r="G79" s="44">
        <v>43733</v>
      </c>
      <c r="H79" s="45">
        <v>1945522.65</v>
      </c>
      <c r="I79" s="45">
        <v>248937.68</v>
      </c>
      <c r="J79" s="40" t="s">
        <v>306</v>
      </c>
      <c r="K79" s="40">
        <v>246</v>
      </c>
      <c r="L79" s="42">
        <f t="shared" si="1"/>
        <v>583656.79499999993</v>
      </c>
      <c r="M79" s="42"/>
    </row>
    <row r="80" spans="1:13" ht="24">
      <c r="A80" s="1011"/>
      <c r="B80" s="41" t="s">
        <v>1961</v>
      </c>
      <c r="C80" s="40" t="s">
        <v>1962</v>
      </c>
      <c r="D80" s="42" t="s">
        <v>1798</v>
      </c>
      <c r="E80" s="42" t="s">
        <v>453</v>
      </c>
      <c r="F80" s="43" t="s">
        <v>1963</v>
      </c>
      <c r="G80" s="44">
        <v>43719</v>
      </c>
      <c r="H80" s="45">
        <v>129773.63</v>
      </c>
      <c r="I80" s="55">
        <v>1935360</v>
      </c>
      <c r="J80" s="40" t="s">
        <v>1766</v>
      </c>
      <c r="K80" s="40">
        <v>247</v>
      </c>
      <c r="L80" s="42">
        <f t="shared" si="1"/>
        <v>38932.089</v>
      </c>
      <c r="M80" s="42"/>
    </row>
    <row r="81" spans="1:13">
      <c r="A81" s="1011"/>
      <c r="B81" s="41" t="s">
        <v>1945</v>
      </c>
      <c r="C81" s="40">
        <v>137</v>
      </c>
      <c r="D81" s="42" t="s">
        <v>1912</v>
      </c>
      <c r="E81" s="42" t="s">
        <v>453</v>
      </c>
      <c r="F81" s="43" t="s">
        <v>1964</v>
      </c>
      <c r="G81" s="44">
        <v>43719</v>
      </c>
      <c r="H81" s="45">
        <v>130027.09</v>
      </c>
      <c r="I81" s="55">
        <v>1939140</v>
      </c>
      <c r="J81" s="40" t="s">
        <v>1766</v>
      </c>
      <c r="K81" s="40">
        <v>248</v>
      </c>
      <c r="L81" s="42">
        <f t="shared" si="1"/>
        <v>39008.127</v>
      </c>
      <c r="M81" s="42"/>
    </row>
    <row r="82" spans="1:13" ht="36">
      <c r="A82" s="1011"/>
      <c r="B82" s="41" t="s">
        <v>1965</v>
      </c>
      <c r="C82" s="40" t="s">
        <v>1966</v>
      </c>
      <c r="D82" s="42" t="s">
        <v>1880</v>
      </c>
      <c r="E82" s="42" t="s">
        <v>453</v>
      </c>
      <c r="F82" s="43" t="s">
        <v>1967</v>
      </c>
      <c r="G82" s="44">
        <v>43719</v>
      </c>
      <c r="H82" s="45">
        <v>484781.64</v>
      </c>
      <c r="I82" s="55">
        <v>7229720</v>
      </c>
      <c r="J82" s="40" t="s">
        <v>1766</v>
      </c>
      <c r="K82" s="40">
        <v>249</v>
      </c>
      <c r="L82" s="42">
        <f t="shared" si="1"/>
        <v>145434.492</v>
      </c>
      <c r="M82" s="42"/>
    </row>
    <row r="83" spans="1:13">
      <c r="A83" s="1011"/>
      <c r="B83" s="41" t="s">
        <v>1968</v>
      </c>
      <c r="C83" s="40" t="s">
        <v>1959</v>
      </c>
      <c r="D83" s="42" t="s">
        <v>1771</v>
      </c>
      <c r="E83" s="42" t="s">
        <v>383</v>
      </c>
      <c r="F83" s="43" t="s">
        <v>1969</v>
      </c>
      <c r="G83" s="44">
        <v>43728</v>
      </c>
      <c r="H83" s="45">
        <v>2354336.46</v>
      </c>
      <c r="I83" s="45">
        <v>301247.09999999998</v>
      </c>
      <c r="J83" s="40" t="s">
        <v>306</v>
      </c>
      <c r="K83" s="40">
        <v>250</v>
      </c>
      <c r="L83" s="42">
        <f t="shared" si="1"/>
        <v>706300.93799999997</v>
      </c>
      <c r="M83" s="42"/>
    </row>
    <row r="84" spans="1:13">
      <c r="A84" s="1011"/>
      <c r="B84" s="46" t="s">
        <v>1970</v>
      </c>
      <c r="C84" s="40" t="s">
        <v>1971</v>
      </c>
      <c r="D84" s="42" t="s">
        <v>1771</v>
      </c>
      <c r="E84" s="42" t="s">
        <v>383</v>
      </c>
      <c r="F84" s="43" t="s">
        <v>1972</v>
      </c>
      <c r="G84" s="44">
        <v>43717</v>
      </c>
      <c r="H84" s="45">
        <v>1498409.88</v>
      </c>
      <c r="I84" s="45">
        <v>191727.75</v>
      </c>
      <c r="J84" s="40" t="s">
        <v>306</v>
      </c>
      <c r="K84" s="40">
        <v>251</v>
      </c>
      <c r="L84" s="42">
        <f t="shared" si="1"/>
        <v>449522.96399999998</v>
      </c>
      <c r="M84" s="42"/>
    </row>
    <row r="85" spans="1:13">
      <c r="A85" s="1011"/>
      <c r="B85" s="41" t="s">
        <v>1973</v>
      </c>
      <c r="C85" s="40" t="s">
        <v>1896</v>
      </c>
      <c r="D85" s="42" t="s">
        <v>1771</v>
      </c>
      <c r="E85" s="42" t="s">
        <v>383</v>
      </c>
      <c r="F85" s="43" t="s">
        <v>1974</v>
      </c>
      <c r="G85" s="44">
        <v>43713</v>
      </c>
      <c r="H85" s="45">
        <v>1647566.6</v>
      </c>
      <c r="I85" s="45">
        <v>210812.97</v>
      </c>
      <c r="J85" s="40" t="s">
        <v>306</v>
      </c>
      <c r="K85" s="40">
        <v>252</v>
      </c>
      <c r="L85" s="42">
        <f t="shared" si="1"/>
        <v>494269.98</v>
      </c>
      <c r="M85" s="42"/>
    </row>
    <row r="86" spans="1:13">
      <c r="A86" s="1011"/>
      <c r="B86" s="41" t="s">
        <v>1945</v>
      </c>
      <c r="C86" s="40">
        <v>137</v>
      </c>
      <c r="D86" s="42" t="s">
        <v>1912</v>
      </c>
      <c r="E86" s="42" t="s">
        <v>453</v>
      </c>
      <c r="F86" s="43" t="s">
        <v>1975</v>
      </c>
      <c r="G86" s="44">
        <v>43735</v>
      </c>
      <c r="H86" s="45">
        <v>145995.32999999999</v>
      </c>
      <c r="I86" s="55">
        <v>2177280</v>
      </c>
      <c r="J86" s="40" t="s">
        <v>1766</v>
      </c>
      <c r="K86" s="40">
        <v>253</v>
      </c>
      <c r="L86" s="42">
        <f t="shared" si="1"/>
        <v>43798.598999999995</v>
      </c>
      <c r="M86" s="42"/>
    </row>
    <row r="87" spans="1:13">
      <c r="A87" s="1011"/>
      <c r="B87" s="46" t="s">
        <v>1954</v>
      </c>
      <c r="C87" s="40">
        <v>141</v>
      </c>
      <c r="D87" s="42" t="s">
        <v>1771</v>
      </c>
      <c r="E87" s="42" t="s">
        <v>383</v>
      </c>
      <c r="F87" s="43" t="s">
        <v>1976</v>
      </c>
      <c r="G87" s="44">
        <v>43769</v>
      </c>
      <c r="H87" s="45">
        <v>749221.91</v>
      </c>
      <c r="I87" s="45">
        <v>106222.89</v>
      </c>
      <c r="J87" s="40" t="s">
        <v>296</v>
      </c>
      <c r="K87" s="40">
        <v>254</v>
      </c>
      <c r="L87" s="42">
        <f t="shared" si="1"/>
        <v>224766.573</v>
      </c>
      <c r="M87" s="42"/>
    </row>
    <row r="88" spans="1:13">
      <c r="A88" s="1011"/>
      <c r="B88" s="41" t="s">
        <v>1977</v>
      </c>
      <c r="C88" s="40" t="s">
        <v>1971</v>
      </c>
      <c r="D88" s="42" t="s">
        <v>1771</v>
      </c>
      <c r="E88" s="42" t="s">
        <v>383</v>
      </c>
      <c r="F88" s="43" t="s">
        <v>1978</v>
      </c>
      <c r="G88" s="44">
        <v>43766</v>
      </c>
      <c r="H88" s="45">
        <v>1159987.6299999999</v>
      </c>
      <c r="I88" s="45">
        <v>149108.25</v>
      </c>
      <c r="J88" s="40" t="s">
        <v>306</v>
      </c>
      <c r="K88" s="40">
        <v>255</v>
      </c>
      <c r="L88" s="42">
        <f t="shared" si="1"/>
        <v>347996.28899999993</v>
      </c>
      <c r="M88" s="42"/>
    </row>
    <row r="89" spans="1:13" ht="24">
      <c r="A89" s="1011"/>
      <c r="B89" s="41" t="s">
        <v>1979</v>
      </c>
      <c r="C89" s="40" t="s">
        <v>1980</v>
      </c>
      <c r="D89" s="42" t="s">
        <v>1771</v>
      </c>
      <c r="E89" s="42" t="s">
        <v>383</v>
      </c>
      <c r="F89" s="43" t="s">
        <v>1981</v>
      </c>
      <c r="G89" s="44">
        <v>43752</v>
      </c>
      <c r="H89" s="45">
        <v>702598.77</v>
      </c>
      <c r="I89" s="45">
        <v>90314.13</v>
      </c>
      <c r="J89" s="40" t="s">
        <v>306</v>
      </c>
      <c r="K89" s="40">
        <v>256</v>
      </c>
      <c r="L89" s="42">
        <f t="shared" si="1"/>
        <v>210779.63099999999</v>
      </c>
      <c r="M89" s="42"/>
    </row>
    <row r="90" spans="1:13" ht="48">
      <c r="A90" s="1011"/>
      <c r="B90" s="41" t="s">
        <v>1982</v>
      </c>
      <c r="C90" s="40" t="s">
        <v>1983</v>
      </c>
      <c r="D90" s="42" t="s">
        <v>1798</v>
      </c>
      <c r="E90" s="42" t="s">
        <v>453</v>
      </c>
      <c r="F90" s="43" t="s">
        <v>1984</v>
      </c>
      <c r="G90" s="44">
        <v>43749</v>
      </c>
      <c r="H90" s="45">
        <v>298996.86</v>
      </c>
      <c r="I90" s="55">
        <v>4523265</v>
      </c>
      <c r="J90" s="40" t="s">
        <v>1766</v>
      </c>
      <c r="K90" s="40">
        <v>257</v>
      </c>
      <c r="L90" s="42">
        <f t="shared" si="1"/>
        <v>89699.05799999999</v>
      </c>
      <c r="M90" s="42"/>
    </row>
    <row r="91" spans="1:13">
      <c r="A91" s="1011"/>
      <c r="B91" s="41" t="s">
        <v>1985</v>
      </c>
      <c r="C91" s="40">
        <v>150</v>
      </c>
      <c r="D91" s="42" t="s">
        <v>1912</v>
      </c>
      <c r="E91" s="42" t="s">
        <v>453</v>
      </c>
      <c r="F91" s="43" t="s">
        <v>1986</v>
      </c>
      <c r="G91" s="44">
        <v>43749</v>
      </c>
      <c r="H91" s="45">
        <v>123362.2</v>
      </c>
      <c r="I91" s="55">
        <v>1866240</v>
      </c>
      <c r="J91" s="40" t="s">
        <v>1766</v>
      </c>
      <c r="K91" s="40">
        <v>258</v>
      </c>
      <c r="L91" s="42">
        <f t="shared" si="1"/>
        <v>37008.659999999996</v>
      </c>
      <c r="M91" s="42"/>
    </row>
    <row r="92" spans="1:13">
      <c r="A92" s="1011"/>
      <c r="B92" s="41" t="s">
        <v>1987</v>
      </c>
      <c r="C92" s="40" t="s">
        <v>1930</v>
      </c>
      <c r="D92" s="42" t="s">
        <v>1771</v>
      </c>
      <c r="E92" s="42" t="s">
        <v>383</v>
      </c>
      <c r="F92" s="43" t="s">
        <v>1988</v>
      </c>
      <c r="G92" s="44">
        <v>43746</v>
      </c>
      <c r="H92" s="45">
        <v>1874374.68</v>
      </c>
      <c r="I92" s="45">
        <v>240937.68</v>
      </c>
      <c r="J92" s="40" t="s">
        <v>306</v>
      </c>
      <c r="K92" s="40">
        <v>259</v>
      </c>
      <c r="L92" s="42">
        <f t="shared" si="1"/>
        <v>562312.40399999998</v>
      </c>
      <c r="M92" s="42"/>
    </row>
    <row r="93" spans="1:13" ht="36">
      <c r="A93" s="1011"/>
      <c r="B93" s="41" t="s">
        <v>1989</v>
      </c>
      <c r="C93" s="40" t="s">
        <v>1990</v>
      </c>
      <c r="D93" s="42" t="s">
        <v>1771</v>
      </c>
      <c r="E93" s="42" t="s">
        <v>383</v>
      </c>
      <c r="F93" s="43" t="s">
        <v>1991</v>
      </c>
      <c r="G93" s="44">
        <v>43756</v>
      </c>
      <c r="H93" s="45">
        <v>3718412.81</v>
      </c>
      <c r="I93" s="45">
        <v>477975.81</v>
      </c>
      <c r="J93" s="40" t="s">
        <v>306</v>
      </c>
      <c r="K93" s="40">
        <v>260</v>
      </c>
      <c r="L93" s="42">
        <f t="shared" si="1"/>
        <v>1115523.8429999999</v>
      </c>
      <c r="M93" s="42"/>
    </row>
    <row r="94" spans="1:13">
      <c r="A94" s="1011"/>
      <c r="B94" s="41" t="s">
        <v>1992</v>
      </c>
      <c r="C94" s="40">
        <v>154</v>
      </c>
      <c r="D94" s="42" t="s">
        <v>1912</v>
      </c>
      <c r="E94" s="42" t="s">
        <v>453</v>
      </c>
      <c r="F94" s="43" t="s">
        <v>1993</v>
      </c>
      <c r="G94" s="44">
        <v>43784</v>
      </c>
      <c r="H94" s="45">
        <v>180830.72</v>
      </c>
      <c r="I94" s="55">
        <v>2776032</v>
      </c>
      <c r="J94" s="40" t="s">
        <v>1766</v>
      </c>
      <c r="K94" s="40">
        <v>261</v>
      </c>
      <c r="L94" s="42">
        <f t="shared" si="1"/>
        <v>54249.216</v>
      </c>
      <c r="M94" s="42"/>
    </row>
    <row r="95" spans="1:13" ht="36">
      <c r="A95" s="1011"/>
      <c r="B95" s="41" t="s">
        <v>1994</v>
      </c>
      <c r="C95" s="40" t="s">
        <v>1995</v>
      </c>
      <c r="D95" s="42" t="s">
        <v>1880</v>
      </c>
      <c r="E95" s="42" t="s">
        <v>453</v>
      </c>
      <c r="F95" s="43" t="s">
        <v>1996</v>
      </c>
      <c r="G95" s="44">
        <v>43770</v>
      </c>
      <c r="H95" s="45">
        <v>427753.54</v>
      </c>
      <c r="I95" s="55">
        <v>6566680</v>
      </c>
      <c r="J95" s="40" t="s">
        <v>1766</v>
      </c>
      <c r="K95" s="40">
        <v>262</v>
      </c>
      <c r="L95" s="42">
        <f t="shared" si="1"/>
        <v>128326.06199999999</v>
      </c>
      <c r="M95" s="42"/>
    </row>
    <row r="96" spans="1:13">
      <c r="A96" s="1011"/>
      <c r="B96" s="41" t="s">
        <v>1997</v>
      </c>
      <c r="C96" s="40" t="s">
        <v>1998</v>
      </c>
      <c r="D96" s="42" t="s">
        <v>1771</v>
      </c>
      <c r="E96" s="42" t="s">
        <v>383</v>
      </c>
      <c r="F96" s="43" t="s">
        <v>1999</v>
      </c>
      <c r="G96" s="44">
        <v>43790</v>
      </c>
      <c r="H96" s="45">
        <v>1174308.8899999999</v>
      </c>
      <c r="I96" s="45">
        <v>149650.68</v>
      </c>
      <c r="J96" s="40" t="s">
        <v>306</v>
      </c>
      <c r="K96" s="40">
        <v>263</v>
      </c>
      <c r="L96" s="42">
        <f t="shared" si="1"/>
        <v>352292.66699999996</v>
      </c>
      <c r="M96" s="42"/>
    </row>
    <row r="97" spans="1:14">
      <c r="A97" s="1011"/>
      <c r="B97" s="41" t="s">
        <v>2000</v>
      </c>
      <c r="C97" s="40">
        <v>158</v>
      </c>
      <c r="D97" s="42" t="s">
        <v>1880</v>
      </c>
      <c r="E97" s="42" t="s">
        <v>453</v>
      </c>
      <c r="F97" s="43" t="s">
        <v>2001</v>
      </c>
      <c r="G97" s="44">
        <v>43784</v>
      </c>
      <c r="H97" s="45">
        <v>44503.65</v>
      </c>
      <c r="I97" s="55">
        <v>683200</v>
      </c>
      <c r="J97" s="40" t="s">
        <v>1766</v>
      </c>
      <c r="K97" s="40">
        <v>264</v>
      </c>
      <c r="L97" s="42">
        <f t="shared" si="1"/>
        <v>13351.094999999999</v>
      </c>
      <c r="M97" s="42"/>
    </row>
    <row r="98" spans="1:14">
      <c r="A98" s="1011"/>
      <c r="B98" s="41" t="s">
        <v>1992</v>
      </c>
      <c r="C98" s="40">
        <v>154</v>
      </c>
      <c r="D98" s="42" t="s">
        <v>1912</v>
      </c>
      <c r="E98" s="42" t="s">
        <v>453</v>
      </c>
      <c r="F98" s="43" t="s">
        <v>2002</v>
      </c>
      <c r="G98" s="44">
        <v>43770</v>
      </c>
      <c r="H98" s="45">
        <v>77498.880000000005</v>
      </c>
      <c r="I98" s="55">
        <v>1189728</v>
      </c>
      <c r="J98" s="40" t="s">
        <v>1766</v>
      </c>
      <c r="K98" s="40">
        <v>265</v>
      </c>
      <c r="L98" s="42">
        <f t="shared" si="1"/>
        <v>23249.664000000001</v>
      </c>
      <c r="M98" s="42"/>
    </row>
    <row r="99" spans="1:14">
      <c r="A99" s="1011"/>
      <c r="B99" s="41" t="s">
        <v>2003</v>
      </c>
      <c r="C99" s="40">
        <v>159</v>
      </c>
      <c r="D99" s="42" t="s">
        <v>1764</v>
      </c>
      <c r="E99" s="42" t="s">
        <v>453</v>
      </c>
      <c r="F99" s="43" t="s">
        <v>2004</v>
      </c>
      <c r="G99" s="44">
        <v>43796</v>
      </c>
      <c r="H99" s="45">
        <v>101688.98</v>
      </c>
      <c r="I99" s="45">
        <v>14436.87</v>
      </c>
      <c r="J99" s="40" t="s">
        <v>296</v>
      </c>
      <c r="K99" s="40">
        <v>266</v>
      </c>
      <c r="L99" s="42">
        <f t="shared" si="1"/>
        <v>30506.693999999996</v>
      </c>
      <c r="M99" s="42"/>
    </row>
    <row r="100" spans="1:14">
      <c r="A100" s="1011"/>
      <c r="B100" s="40" t="s">
        <v>2005</v>
      </c>
      <c r="C100" s="40" t="s">
        <v>2006</v>
      </c>
      <c r="D100" s="42" t="s">
        <v>2007</v>
      </c>
      <c r="E100" s="42" t="s">
        <v>372</v>
      </c>
      <c r="F100" s="43" t="s">
        <v>2008</v>
      </c>
      <c r="G100" s="44">
        <v>43787</v>
      </c>
      <c r="H100" s="45">
        <v>109418.24000000001</v>
      </c>
      <c r="I100" s="45">
        <v>15534.2</v>
      </c>
      <c r="J100" s="40" t="s">
        <v>296</v>
      </c>
      <c r="K100" s="40">
        <v>267</v>
      </c>
      <c r="L100" s="42">
        <f t="shared" si="1"/>
        <v>32825.472000000002</v>
      </c>
      <c r="M100" s="42"/>
    </row>
    <row r="101" spans="1:14">
      <c r="A101" s="1011"/>
      <c r="B101" s="41" t="s">
        <v>2003</v>
      </c>
      <c r="C101" s="40">
        <v>159</v>
      </c>
      <c r="D101" s="42" t="s">
        <v>1764</v>
      </c>
      <c r="E101" s="42" t="s">
        <v>453</v>
      </c>
      <c r="F101" s="43" t="s">
        <v>2009</v>
      </c>
      <c r="G101" s="44">
        <v>43784</v>
      </c>
      <c r="H101" s="45">
        <v>43580.99</v>
      </c>
      <c r="I101" s="45">
        <v>6187.23</v>
      </c>
      <c r="J101" s="40" t="s">
        <v>296</v>
      </c>
      <c r="K101" s="40">
        <v>268</v>
      </c>
      <c r="L101" s="42">
        <f t="shared" si="1"/>
        <v>13074.296999999999</v>
      </c>
      <c r="M101" s="42"/>
    </row>
    <row r="102" spans="1:14">
      <c r="A102" s="1011"/>
      <c r="B102" s="46" t="s">
        <v>2010</v>
      </c>
      <c r="C102" s="40">
        <v>165</v>
      </c>
      <c r="D102" s="42" t="s">
        <v>1771</v>
      </c>
      <c r="E102" s="42" t="s">
        <v>383</v>
      </c>
      <c r="F102" s="43" t="s">
        <v>2011</v>
      </c>
      <c r="G102" s="44">
        <v>43776</v>
      </c>
      <c r="H102" s="45">
        <v>249343.67</v>
      </c>
      <c r="I102" s="45">
        <v>35399.53</v>
      </c>
      <c r="J102" s="40" t="s">
        <v>296</v>
      </c>
      <c r="K102" s="40">
        <v>269</v>
      </c>
      <c r="L102" s="42">
        <f t="shared" si="1"/>
        <v>74803.100999999995</v>
      </c>
      <c r="M102" s="42"/>
    </row>
    <row r="103" spans="1:14">
      <c r="A103" s="1011"/>
      <c r="B103" s="41" t="s">
        <v>2012</v>
      </c>
      <c r="C103" s="40">
        <v>166</v>
      </c>
      <c r="D103" s="42" t="s">
        <v>1764</v>
      </c>
      <c r="E103" s="42" t="s">
        <v>453</v>
      </c>
      <c r="F103" s="43" t="s">
        <v>2013</v>
      </c>
      <c r="G103" s="44">
        <v>43799</v>
      </c>
      <c r="H103" s="45">
        <v>25424.07</v>
      </c>
      <c r="I103" s="55">
        <v>396100</v>
      </c>
      <c r="J103" s="40" t="s">
        <v>1766</v>
      </c>
      <c r="K103" s="40">
        <v>270</v>
      </c>
      <c r="L103" s="42">
        <f t="shared" si="1"/>
        <v>7627.2209999999995</v>
      </c>
      <c r="M103" s="42"/>
    </row>
    <row r="104" spans="1:14">
      <c r="A104" s="1011"/>
      <c r="B104" s="41" t="s">
        <v>2014</v>
      </c>
      <c r="C104" s="40" t="s">
        <v>1770</v>
      </c>
      <c r="D104" s="42" t="s">
        <v>1771</v>
      </c>
      <c r="E104" s="42" t="s">
        <v>383</v>
      </c>
      <c r="F104" s="43" t="s">
        <v>2015</v>
      </c>
      <c r="G104" s="44">
        <v>43783</v>
      </c>
      <c r="H104" s="45">
        <v>934494.36</v>
      </c>
      <c r="I104" s="45">
        <v>119089.38</v>
      </c>
      <c r="J104" s="40" t="s">
        <v>306</v>
      </c>
      <c r="K104" s="40">
        <v>271</v>
      </c>
      <c r="L104" s="42">
        <f t="shared" si="1"/>
        <v>280348.30799999996</v>
      </c>
      <c r="M104" s="42"/>
    </row>
    <row r="105" spans="1:14">
      <c r="A105" s="1011"/>
      <c r="B105" s="41" t="s">
        <v>2012</v>
      </c>
      <c r="C105" s="40">
        <v>166</v>
      </c>
      <c r="D105" s="42" t="s">
        <v>1764</v>
      </c>
      <c r="E105" s="42" t="s">
        <v>453</v>
      </c>
      <c r="F105" s="43" t="s">
        <v>2016</v>
      </c>
      <c r="G105" s="44">
        <v>43799</v>
      </c>
      <c r="H105" s="45">
        <v>59879.12</v>
      </c>
      <c r="I105" s="55">
        <v>932900</v>
      </c>
      <c r="J105" s="40" t="s">
        <v>1766</v>
      </c>
      <c r="K105" s="40">
        <v>272</v>
      </c>
      <c r="L105" s="42">
        <f t="shared" si="1"/>
        <v>17963.736000000001</v>
      </c>
      <c r="M105" s="42"/>
    </row>
    <row r="106" spans="1:14">
      <c r="A106" s="1011"/>
      <c r="B106" s="41" t="s">
        <v>1767</v>
      </c>
      <c r="C106" s="40">
        <v>24</v>
      </c>
      <c r="D106" s="42" t="s">
        <v>1764</v>
      </c>
      <c r="E106" s="42" t="s">
        <v>453</v>
      </c>
      <c r="F106" s="43" t="s">
        <v>2017</v>
      </c>
      <c r="G106" s="44">
        <v>43824</v>
      </c>
      <c r="H106" s="45">
        <v>6478.16</v>
      </c>
      <c r="I106" s="45">
        <v>922</v>
      </c>
      <c r="J106" s="40" t="s">
        <v>296</v>
      </c>
      <c r="K106" s="40">
        <v>273</v>
      </c>
      <c r="L106" s="42">
        <f t="shared" si="1"/>
        <v>1943.4479999999999</v>
      </c>
      <c r="M106" s="42"/>
    </row>
    <row r="107" spans="1:14">
      <c r="A107" s="1011"/>
      <c r="B107" s="57" t="s">
        <v>2005</v>
      </c>
      <c r="C107" s="40" t="s">
        <v>2006</v>
      </c>
      <c r="D107" s="42" t="s">
        <v>2007</v>
      </c>
      <c r="E107" s="42" t="s">
        <v>372</v>
      </c>
      <c r="F107" s="43" t="s">
        <v>2018</v>
      </c>
      <c r="G107" s="44">
        <v>43818</v>
      </c>
      <c r="H107" s="45">
        <v>258000.66</v>
      </c>
      <c r="I107" s="45">
        <v>36719.800000000003</v>
      </c>
      <c r="J107" s="40" t="s">
        <v>296</v>
      </c>
      <c r="K107" s="40">
        <v>274</v>
      </c>
      <c r="L107" s="42">
        <f t="shared" si="1"/>
        <v>77400.198000000004</v>
      </c>
      <c r="M107" s="42"/>
    </row>
    <row r="108" spans="1:14">
      <c r="A108" s="1011"/>
      <c r="B108" s="41" t="s">
        <v>1763</v>
      </c>
      <c r="C108" s="40">
        <v>23</v>
      </c>
      <c r="D108" s="42" t="s">
        <v>1764</v>
      </c>
      <c r="E108" s="42" t="s">
        <v>453</v>
      </c>
      <c r="F108" s="43" t="s">
        <v>2019</v>
      </c>
      <c r="G108" s="44">
        <v>43815</v>
      </c>
      <c r="H108" s="45">
        <v>25405.46</v>
      </c>
      <c r="I108" s="55">
        <v>396100</v>
      </c>
      <c r="J108" s="40" t="s">
        <v>1766</v>
      </c>
      <c r="K108" s="40">
        <v>275</v>
      </c>
      <c r="L108" s="42">
        <f t="shared" si="1"/>
        <v>7621.637999999999</v>
      </c>
      <c r="M108" s="42"/>
    </row>
    <row r="109" spans="1:14">
      <c r="A109" s="1011"/>
      <c r="B109" s="41" t="s">
        <v>2020</v>
      </c>
      <c r="C109" s="40" t="s">
        <v>1998</v>
      </c>
      <c r="D109" s="42" t="s">
        <v>1771</v>
      </c>
      <c r="E109" s="42" t="s">
        <v>383</v>
      </c>
      <c r="F109" s="43" t="s">
        <v>2021</v>
      </c>
      <c r="G109" s="44">
        <v>43816</v>
      </c>
      <c r="H109" s="45">
        <v>2086602.67</v>
      </c>
      <c r="I109" s="45">
        <v>269527.71000000002</v>
      </c>
      <c r="J109" s="40" t="s">
        <v>306</v>
      </c>
      <c r="K109" s="40">
        <v>276</v>
      </c>
      <c r="L109" s="42">
        <f t="shared" si="1"/>
        <v>625980.80099999998</v>
      </c>
      <c r="M109" s="42"/>
      <c r="N109" s="60">
        <f>SUM(I5:I109)</f>
        <v>129775840.23</v>
      </c>
    </row>
    <row r="110" spans="1:14">
      <c r="A110" s="1011"/>
      <c r="B110" s="46" t="s">
        <v>2010</v>
      </c>
      <c r="C110" s="40">
        <v>165</v>
      </c>
      <c r="D110" s="42" t="s">
        <v>1771</v>
      </c>
      <c r="E110" s="42" t="s">
        <v>383</v>
      </c>
      <c r="F110" s="43" t="s">
        <v>2022</v>
      </c>
      <c r="G110" s="44">
        <v>43802</v>
      </c>
      <c r="H110" s="45">
        <v>580731.03</v>
      </c>
      <c r="I110" s="45">
        <v>82652.22</v>
      </c>
      <c r="J110" s="40" t="s">
        <v>296</v>
      </c>
      <c r="K110" s="40">
        <v>277</v>
      </c>
      <c r="L110" s="42">
        <f t="shared" si="1"/>
        <v>174219.30900000001</v>
      </c>
      <c r="M110" s="42"/>
      <c r="N110" s="60">
        <f>SUM(I4:I110)</f>
        <v>129860815.45</v>
      </c>
    </row>
    <row r="111" spans="1:14">
      <c r="A111" s="1011"/>
      <c r="B111" s="41" t="s">
        <v>2023</v>
      </c>
      <c r="C111" s="40">
        <v>167</v>
      </c>
      <c r="D111" s="42" t="s">
        <v>1912</v>
      </c>
      <c r="E111" s="42" t="s">
        <v>453</v>
      </c>
      <c r="F111" s="43" t="s">
        <v>2024</v>
      </c>
      <c r="G111" s="44">
        <v>43829</v>
      </c>
      <c r="H111" s="45">
        <v>643625.24</v>
      </c>
      <c r="I111" s="55">
        <v>10034850</v>
      </c>
      <c r="J111" s="40" t="s">
        <v>1766</v>
      </c>
      <c r="K111" s="40">
        <v>278</v>
      </c>
      <c r="L111" s="42">
        <f t="shared" si="1"/>
        <v>193087.57199999999</v>
      </c>
      <c r="M111" s="42"/>
    </row>
    <row r="112" spans="1:14">
      <c r="A112" s="1011"/>
      <c r="B112" s="41" t="s">
        <v>2023</v>
      </c>
      <c r="C112" s="40">
        <v>167</v>
      </c>
      <c r="D112" s="42" t="s">
        <v>1912</v>
      </c>
      <c r="E112" s="42" t="s">
        <v>453</v>
      </c>
      <c r="F112" s="43" t="s">
        <v>2025</v>
      </c>
      <c r="G112" s="44">
        <v>43801</v>
      </c>
      <c r="H112" s="45">
        <v>276324.28000000003</v>
      </c>
      <c r="I112" s="55">
        <v>4308210</v>
      </c>
      <c r="J112" s="40" t="s">
        <v>1766</v>
      </c>
      <c r="K112" s="40" t="s">
        <v>2026</v>
      </c>
      <c r="L112" s="42">
        <f t="shared" si="1"/>
        <v>82897.284</v>
      </c>
      <c r="M112" s="42"/>
      <c r="N112" s="60">
        <f>SUM(I3:I112)</f>
        <v>145136775.44999999</v>
      </c>
    </row>
    <row r="113" spans="1:13">
      <c r="A113" s="42" t="s">
        <v>2027</v>
      </c>
      <c r="B113" s="42" t="s">
        <v>182</v>
      </c>
      <c r="C113" s="42" t="s">
        <v>2027</v>
      </c>
      <c r="D113" s="42" t="s">
        <v>2027</v>
      </c>
      <c r="E113" s="42" t="s">
        <v>2027</v>
      </c>
      <c r="F113" s="42" t="s">
        <v>2027</v>
      </c>
      <c r="G113" s="42" t="s">
        <v>2027</v>
      </c>
      <c r="H113" s="58">
        <f>SUM(H3:H112)</f>
        <v>128241244.84999998</v>
      </c>
      <c r="I113" s="42" t="s">
        <v>2027</v>
      </c>
      <c r="J113" s="40" t="s">
        <v>2027</v>
      </c>
      <c r="K113" s="42" t="s">
        <v>2027</v>
      </c>
      <c r="L113" s="58">
        <f>SUM(L3:L112)</f>
        <v>38472373.454999976</v>
      </c>
      <c r="M113" s="42"/>
    </row>
    <row r="114" spans="1:13" ht="15.95" customHeight="1">
      <c r="K114" s="38" t="s">
        <v>311</v>
      </c>
      <c r="L114" s="59">
        <f>N109*7.961+N110*7.0795+N112*0.0659</f>
        <v>1962059620.55146</v>
      </c>
    </row>
    <row r="116" spans="1:13" ht="21" customHeight="1">
      <c r="H116" s="59">
        <f>H113*0.3</f>
        <v>38472373.454999991</v>
      </c>
    </row>
  </sheetData>
  <autoFilter ref="A1:L113"/>
  <mergeCells count="12">
    <mergeCell ref="K1:K2"/>
    <mergeCell ref="L1:L2"/>
    <mergeCell ref="M1:M2"/>
    <mergeCell ref="H1:J1"/>
    <mergeCell ref="A1:A2"/>
    <mergeCell ref="F1:F2"/>
    <mergeCell ref="G1:G2"/>
    <mergeCell ref="A3:A112"/>
    <mergeCell ref="B1:B2"/>
    <mergeCell ref="C1:C2"/>
    <mergeCell ref="D1:D2"/>
    <mergeCell ref="E1:E2"/>
  </mergeCells>
  <phoneticPr fontId="92" type="noConversion"/>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
  <dimension ref="A1:P655"/>
  <sheetViews>
    <sheetView topLeftCell="A634" workbookViewId="0">
      <selection activeCell="E19" sqref="E19"/>
    </sheetView>
  </sheetViews>
  <sheetFormatPr defaultColWidth="9" defaultRowHeight="14.25"/>
  <cols>
    <col min="1" max="1" width="4.75" style="3" customWidth="1"/>
    <col min="2" max="2" width="8" style="3" hidden="1" customWidth="1"/>
    <col min="3" max="3" width="9.625" style="3" hidden="1" customWidth="1"/>
    <col min="4" max="4" width="7.75" style="3" hidden="1" customWidth="1"/>
    <col min="5" max="5" width="15.375" style="3" customWidth="1"/>
    <col min="6" max="6" width="31.375" style="3" customWidth="1"/>
    <col min="7" max="7" width="7.375" style="3" customWidth="1"/>
    <col min="8" max="8" width="16.125" style="3" customWidth="1"/>
    <col min="9" max="9" width="5.125" style="12" customWidth="1"/>
    <col min="10" max="10" width="17.25" style="3" customWidth="1"/>
    <col min="11" max="11" width="13.5" style="3" customWidth="1"/>
    <col min="12" max="12" width="45.125" style="13" customWidth="1"/>
    <col min="13" max="13" width="14" style="3" customWidth="1"/>
    <col min="14" max="14" width="9" style="3"/>
    <col min="15" max="15" width="43.875" style="14" customWidth="1"/>
    <col min="16" max="16" width="13.125" style="3" customWidth="1"/>
    <col min="17" max="16384" width="9" style="3"/>
  </cols>
  <sheetData>
    <row r="1" spans="1:15" ht="26.25" customHeight="1">
      <c r="A1" s="15" t="s">
        <v>180</v>
      </c>
      <c r="B1" s="15" t="s">
        <v>2028</v>
      </c>
      <c r="C1" s="15" t="s">
        <v>2029</v>
      </c>
      <c r="D1" s="15" t="s">
        <v>2030</v>
      </c>
      <c r="E1" s="16" t="s">
        <v>2031</v>
      </c>
      <c r="F1" s="17" t="s">
        <v>2032</v>
      </c>
      <c r="G1" s="15" t="s">
        <v>2033</v>
      </c>
      <c r="H1" s="18" t="s">
        <v>2034</v>
      </c>
      <c r="I1" s="18" t="s">
        <v>2035</v>
      </c>
      <c r="J1" s="21" t="s">
        <v>2036</v>
      </c>
      <c r="K1" s="16" t="s">
        <v>2037</v>
      </c>
      <c r="L1" s="22" t="s">
        <v>190</v>
      </c>
    </row>
    <row r="2" spans="1:15">
      <c r="A2" s="19">
        <v>1</v>
      </c>
      <c r="B2" s="19"/>
      <c r="C2" s="19"/>
      <c r="D2" s="19"/>
      <c r="E2" s="17" t="s">
        <v>1473</v>
      </c>
      <c r="F2" s="17" t="s">
        <v>2038</v>
      </c>
      <c r="G2" s="17" t="s">
        <v>394</v>
      </c>
      <c r="H2" s="18">
        <v>30621.15</v>
      </c>
      <c r="I2" s="18">
        <v>6.8552000822899997</v>
      </c>
      <c r="J2" s="18">
        <v>209914.11</v>
      </c>
      <c r="K2" s="17" t="s">
        <v>2039</v>
      </c>
      <c r="L2" s="23" t="s">
        <v>2040</v>
      </c>
      <c r="M2" s="24"/>
    </row>
    <row r="3" spans="1:15">
      <c r="A3" s="19">
        <v>2</v>
      </c>
      <c r="B3" s="19"/>
      <c r="C3" s="19"/>
      <c r="D3" s="19"/>
      <c r="E3" s="17" t="s">
        <v>1473</v>
      </c>
      <c r="F3" s="17" t="s">
        <v>2041</v>
      </c>
      <c r="G3" s="17" t="s">
        <v>453</v>
      </c>
      <c r="H3" s="18">
        <v>41486.44</v>
      </c>
      <c r="I3" s="18">
        <v>6.8551999159200001</v>
      </c>
      <c r="J3" s="18">
        <v>284397.84000000003</v>
      </c>
      <c r="K3" s="17" t="s">
        <v>2039</v>
      </c>
      <c r="L3" s="23" t="s">
        <v>2042</v>
      </c>
      <c r="M3" s="24"/>
    </row>
    <row r="4" spans="1:15">
      <c r="A4" s="19">
        <v>3</v>
      </c>
      <c r="B4" s="19"/>
      <c r="C4" s="19"/>
      <c r="D4" s="19"/>
      <c r="E4" s="17" t="s">
        <v>1473</v>
      </c>
      <c r="F4" s="17" t="s">
        <v>2043</v>
      </c>
      <c r="G4" s="17" t="s">
        <v>394</v>
      </c>
      <c r="H4" s="18">
        <v>6533.32</v>
      </c>
      <c r="I4" s="18">
        <v>6.8552007248900004</v>
      </c>
      <c r="J4" s="18">
        <v>44787.22</v>
      </c>
      <c r="K4" s="17" t="s">
        <v>2039</v>
      </c>
      <c r="L4" s="23" t="s">
        <v>2044</v>
      </c>
      <c r="M4" s="24"/>
    </row>
    <row r="5" spans="1:15">
      <c r="A5" s="19">
        <v>4</v>
      </c>
      <c r="B5" s="19"/>
      <c r="C5" s="19"/>
      <c r="D5" s="19"/>
      <c r="E5" s="17" t="s">
        <v>1473</v>
      </c>
      <c r="F5" s="17" t="s">
        <v>2045</v>
      </c>
      <c r="G5" s="17" t="s">
        <v>394</v>
      </c>
      <c r="H5" s="18">
        <v>36480.57</v>
      </c>
      <c r="I5" s="18">
        <v>6.8551999050400001</v>
      </c>
      <c r="J5" s="18">
        <v>250081.6</v>
      </c>
      <c r="K5" s="17" t="s">
        <v>2039</v>
      </c>
      <c r="L5" s="23" t="s">
        <v>2046</v>
      </c>
      <c r="M5" s="24"/>
    </row>
    <row r="6" spans="1:15">
      <c r="A6" s="19">
        <v>5</v>
      </c>
      <c r="B6" s="19"/>
      <c r="C6" s="19"/>
      <c r="D6" s="19"/>
      <c r="E6" s="17" t="s">
        <v>1473</v>
      </c>
      <c r="F6" s="17" t="s">
        <v>2047</v>
      </c>
      <c r="G6" s="17" t="s">
        <v>394</v>
      </c>
      <c r="H6" s="18">
        <v>33114.730000000003</v>
      </c>
      <c r="I6" s="18">
        <v>6.8551001321699996</v>
      </c>
      <c r="J6" s="18">
        <v>227004.79</v>
      </c>
      <c r="K6" s="17" t="s">
        <v>2039</v>
      </c>
      <c r="L6" s="23" t="s">
        <v>2048</v>
      </c>
      <c r="M6" s="24"/>
    </row>
    <row r="7" spans="1:15">
      <c r="A7" s="19">
        <v>6</v>
      </c>
      <c r="B7" s="19"/>
      <c r="C7" s="19"/>
      <c r="D7" s="19"/>
      <c r="E7" s="17" t="s">
        <v>1473</v>
      </c>
      <c r="F7" s="17" t="s">
        <v>2049</v>
      </c>
      <c r="G7" s="17" t="s">
        <v>394</v>
      </c>
      <c r="H7" s="18">
        <v>8400</v>
      </c>
      <c r="I7" s="18">
        <v>6.8551000000000002</v>
      </c>
      <c r="J7" s="18">
        <v>57582.84</v>
      </c>
      <c r="K7" s="17" t="s">
        <v>2039</v>
      </c>
      <c r="L7" s="23" t="s">
        <v>2050</v>
      </c>
      <c r="M7" s="24"/>
    </row>
    <row r="8" spans="1:15">
      <c r="A8" s="19">
        <v>7</v>
      </c>
      <c r="B8" s="19"/>
      <c r="C8" s="19"/>
      <c r="D8" s="19"/>
      <c r="E8" s="17" t="s">
        <v>1473</v>
      </c>
      <c r="F8" s="17" t="s">
        <v>2051</v>
      </c>
      <c r="G8" s="17" t="s">
        <v>690</v>
      </c>
      <c r="H8" s="18">
        <v>185255.76</v>
      </c>
      <c r="I8" s="18">
        <v>6.85509999797</v>
      </c>
      <c r="J8" s="18">
        <v>1269946.76</v>
      </c>
      <c r="K8" s="17" t="s">
        <v>2039</v>
      </c>
      <c r="L8" s="23" t="s">
        <v>2052</v>
      </c>
      <c r="M8" s="24"/>
      <c r="O8" s="25"/>
    </row>
    <row r="9" spans="1:15">
      <c r="A9" s="19">
        <v>8</v>
      </c>
      <c r="B9" s="19"/>
      <c r="C9" s="19"/>
      <c r="D9" s="19"/>
      <c r="E9" s="17" t="s">
        <v>2053</v>
      </c>
      <c r="F9" s="17" t="s">
        <v>2047</v>
      </c>
      <c r="G9" s="17" t="s">
        <v>394</v>
      </c>
      <c r="H9" s="18">
        <v>14656.92</v>
      </c>
      <c r="I9" s="18">
        <v>6.8663000139100001</v>
      </c>
      <c r="J9" s="18">
        <v>100638.81</v>
      </c>
      <c r="K9" s="17" t="s">
        <v>2039</v>
      </c>
      <c r="L9" s="23" t="s">
        <v>2048</v>
      </c>
      <c r="M9" s="24"/>
      <c r="O9" s="25"/>
    </row>
    <row r="10" spans="1:15">
      <c r="A10" s="19">
        <v>9</v>
      </c>
      <c r="B10" s="19"/>
      <c r="C10" s="19"/>
      <c r="D10" s="19"/>
      <c r="E10" s="17" t="s">
        <v>2053</v>
      </c>
      <c r="F10" s="17" t="s">
        <v>2054</v>
      </c>
      <c r="G10" s="17" t="s">
        <v>453</v>
      </c>
      <c r="H10" s="18">
        <v>22332.98</v>
      </c>
      <c r="I10" s="18">
        <v>6.86749999328</v>
      </c>
      <c r="J10" s="18">
        <v>153371.74</v>
      </c>
      <c r="K10" s="17" t="s">
        <v>2039</v>
      </c>
      <c r="L10" s="23" t="s">
        <v>2055</v>
      </c>
      <c r="M10" s="24"/>
      <c r="O10" s="25"/>
    </row>
    <row r="11" spans="1:15">
      <c r="A11" s="19">
        <v>10</v>
      </c>
      <c r="B11" s="19"/>
      <c r="C11" s="19"/>
      <c r="D11" s="19"/>
      <c r="E11" s="17" t="s">
        <v>2053</v>
      </c>
      <c r="F11" s="17" t="s">
        <v>2056</v>
      </c>
      <c r="G11" s="17" t="s">
        <v>394</v>
      </c>
      <c r="H11" s="18">
        <v>19976.59</v>
      </c>
      <c r="I11" s="18">
        <v>6.8674999086400002</v>
      </c>
      <c r="J11" s="18">
        <v>137189.23000000001</v>
      </c>
      <c r="K11" s="17" t="s">
        <v>2039</v>
      </c>
      <c r="L11" s="23" t="s">
        <v>2057</v>
      </c>
      <c r="M11" s="24"/>
      <c r="O11" s="25"/>
    </row>
    <row r="12" spans="1:15">
      <c r="A12" s="19">
        <v>11</v>
      </c>
      <c r="B12" s="19"/>
      <c r="C12" s="19"/>
      <c r="D12" s="19"/>
      <c r="E12" s="17" t="s">
        <v>1481</v>
      </c>
      <c r="F12" s="17" t="s">
        <v>2047</v>
      </c>
      <c r="G12" s="17" t="s">
        <v>394</v>
      </c>
      <c r="H12" s="18">
        <v>73563.55</v>
      </c>
      <c r="I12" s="18">
        <v>6.8841999876199997</v>
      </c>
      <c r="J12" s="18">
        <v>506426.19</v>
      </c>
      <c r="K12" s="17" t="s">
        <v>2039</v>
      </c>
      <c r="L12" s="23" t="s">
        <v>2058</v>
      </c>
      <c r="M12" s="24"/>
      <c r="O12" s="25"/>
    </row>
    <row r="13" spans="1:15">
      <c r="A13" s="19">
        <v>12</v>
      </c>
      <c r="B13" s="19"/>
      <c r="C13" s="19"/>
      <c r="D13" s="19"/>
      <c r="E13" s="17" t="s">
        <v>1481</v>
      </c>
      <c r="F13" s="17" t="s">
        <v>2049</v>
      </c>
      <c r="G13" s="17" t="s">
        <v>394</v>
      </c>
      <c r="H13" s="18">
        <v>200</v>
      </c>
      <c r="I13" s="18">
        <v>6.8841999999999999</v>
      </c>
      <c r="J13" s="18">
        <v>1376.84</v>
      </c>
      <c r="K13" s="17" t="s">
        <v>2039</v>
      </c>
      <c r="L13" s="23" t="s">
        <v>2050</v>
      </c>
      <c r="M13" s="24"/>
      <c r="O13" s="25"/>
    </row>
    <row r="14" spans="1:15">
      <c r="A14" s="19">
        <v>13</v>
      </c>
      <c r="B14" s="19"/>
      <c r="C14" s="19"/>
      <c r="D14" s="19"/>
      <c r="E14" s="17" t="s">
        <v>2059</v>
      </c>
      <c r="F14" s="17" t="s">
        <v>2045</v>
      </c>
      <c r="G14" s="17" t="s">
        <v>394</v>
      </c>
      <c r="H14" s="18">
        <v>5000</v>
      </c>
      <c r="I14" s="18">
        <v>6.8746999999999998</v>
      </c>
      <c r="J14" s="18">
        <v>34373.5</v>
      </c>
      <c r="K14" s="17" t="s">
        <v>2039</v>
      </c>
      <c r="L14" s="23" t="s">
        <v>2060</v>
      </c>
      <c r="M14" s="24"/>
      <c r="O14" s="25"/>
    </row>
    <row r="15" spans="1:15">
      <c r="A15" s="19">
        <v>14</v>
      </c>
      <c r="B15" s="19"/>
      <c r="C15" s="19"/>
      <c r="D15" s="19"/>
      <c r="E15" s="17" t="s">
        <v>2059</v>
      </c>
      <c r="F15" s="17" t="s">
        <v>2061</v>
      </c>
      <c r="G15" s="17" t="s">
        <v>453</v>
      </c>
      <c r="H15" s="18">
        <v>66401.62</v>
      </c>
      <c r="I15" s="18">
        <v>6.8746998208300001</v>
      </c>
      <c r="J15" s="18">
        <v>456491.22</v>
      </c>
      <c r="K15" s="17" t="s">
        <v>2039</v>
      </c>
      <c r="L15" s="23" t="s">
        <v>2062</v>
      </c>
      <c r="M15" s="24"/>
      <c r="O15" s="25"/>
    </row>
    <row r="16" spans="1:15">
      <c r="A16" s="19">
        <v>15</v>
      </c>
      <c r="B16" s="19"/>
      <c r="C16" s="19"/>
      <c r="D16" s="19"/>
      <c r="E16" s="17" t="s">
        <v>2059</v>
      </c>
      <c r="F16" s="17" t="s">
        <v>2041</v>
      </c>
      <c r="G16" s="17" t="s">
        <v>453</v>
      </c>
      <c r="H16" s="18">
        <v>22107.63</v>
      </c>
      <c r="I16" s="18">
        <v>6.8746998208300001</v>
      </c>
      <c r="J16" s="18">
        <v>151983.32</v>
      </c>
      <c r="K16" s="17" t="s">
        <v>2039</v>
      </c>
      <c r="L16" s="23" t="s">
        <v>2063</v>
      </c>
      <c r="M16" s="24"/>
      <c r="O16" s="25"/>
    </row>
    <row r="17" spans="1:15">
      <c r="A17" s="19">
        <v>16</v>
      </c>
      <c r="B17" s="19"/>
      <c r="C17" s="19"/>
      <c r="D17" s="19"/>
      <c r="E17" s="17" t="s">
        <v>2064</v>
      </c>
      <c r="F17" s="17" t="s">
        <v>2056</v>
      </c>
      <c r="G17" s="17" t="s">
        <v>394</v>
      </c>
      <c r="H17" s="18">
        <v>21795.08</v>
      </c>
      <c r="I17" s="18">
        <v>6.8583001301199999</v>
      </c>
      <c r="J17" s="18">
        <v>149477.20000000001</v>
      </c>
      <c r="K17" s="17" t="s">
        <v>2039</v>
      </c>
      <c r="L17" s="23" t="s">
        <v>2057</v>
      </c>
      <c r="M17" s="24"/>
      <c r="O17" s="25"/>
    </row>
    <row r="18" spans="1:15">
      <c r="A18" s="19">
        <v>17</v>
      </c>
      <c r="B18" s="19"/>
      <c r="C18" s="19"/>
      <c r="D18" s="19"/>
      <c r="E18" s="17" t="s">
        <v>2064</v>
      </c>
      <c r="F18" s="17" t="s">
        <v>2065</v>
      </c>
      <c r="G18" s="17" t="s">
        <v>394</v>
      </c>
      <c r="H18" s="18">
        <v>66200.91</v>
      </c>
      <c r="I18" s="18">
        <v>6.86</v>
      </c>
      <c r="J18" s="18">
        <v>454045.56</v>
      </c>
      <c r="K18" s="17" t="s">
        <v>2039</v>
      </c>
      <c r="L18" s="23" t="s">
        <v>2066</v>
      </c>
      <c r="M18" s="24"/>
      <c r="O18" s="25"/>
    </row>
    <row r="19" spans="1:15">
      <c r="A19" s="19">
        <v>18</v>
      </c>
      <c r="B19" s="19"/>
      <c r="C19" s="19"/>
      <c r="D19" s="19"/>
      <c r="E19" s="17" t="s">
        <v>2064</v>
      </c>
      <c r="F19" s="17" t="s">
        <v>2067</v>
      </c>
      <c r="G19" s="17" t="s">
        <v>575</v>
      </c>
      <c r="H19" s="18">
        <v>6670</v>
      </c>
      <c r="I19" s="18">
        <v>6.8585997001400001</v>
      </c>
      <c r="J19" s="18">
        <v>45746.86</v>
      </c>
      <c r="K19" s="17" t="s">
        <v>2039</v>
      </c>
      <c r="L19" s="23" t="s">
        <v>2068</v>
      </c>
      <c r="M19" s="24"/>
      <c r="O19" s="25"/>
    </row>
    <row r="20" spans="1:15">
      <c r="A20" s="19">
        <v>19</v>
      </c>
      <c r="B20" s="19"/>
      <c r="C20" s="19"/>
      <c r="D20" s="19"/>
      <c r="E20" s="17" t="s">
        <v>2064</v>
      </c>
      <c r="F20" s="17" t="s">
        <v>2069</v>
      </c>
      <c r="G20" s="17" t="s">
        <v>459</v>
      </c>
      <c r="H20" s="18">
        <v>236219.97</v>
      </c>
      <c r="I20" s="18">
        <v>6.8586000158999996</v>
      </c>
      <c r="J20" s="18">
        <v>1620138.29</v>
      </c>
      <c r="K20" s="17" t="s">
        <v>2039</v>
      </c>
      <c r="L20" s="23" t="s">
        <v>2070</v>
      </c>
      <c r="M20" s="24"/>
      <c r="O20" s="25"/>
    </row>
    <row r="21" spans="1:15">
      <c r="A21" s="19">
        <v>20</v>
      </c>
      <c r="B21" s="19"/>
      <c r="C21" s="19"/>
      <c r="D21" s="19"/>
      <c r="E21" s="17" t="s">
        <v>2064</v>
      </c>
      <c r="F21" s="17" t="s">
        <v>2071</v>
      </c>
      <c r="G21" s="17" t="s">
        <v>453</v>
      </c>
      <c r="H21" s="18">
        <v>49966.18</v>
      </c>
      <c r="I21" s="18">
        <v>6.8582999540799996</v>
      </c>
      <c r="J21" s="18">
        <v>342683.05</v>
      </c>
      <c r="K21" s="17" t="s">
        <v>2039</v>
      </c>
      <c r="L21" s="23" t="s">
        <v>2072</v>
      </c>
      <c r="M21" s="24"/>
      <c r="O21" s="25"/>
    </row>
    <row r="22" spans="1:15">
      <c r="A22" s="19">
        <v>21</v>
      </c>
      <c r="B22" s="19"/>
      <c r="C22" s="19"/>
      <c r="D22" s="19"/>
      <c r="E22" s="17" t="s">
        <v>2073</v>
      </c>
      <c r="F22" s="17" t="s">
        <v>2074</v>
      </c>
      <c r="G22" s="17" t="s">
        <v>670</v>
      </c>
      <c r="H22" s="18">
        <v>53529.43</v>
      </c>
      <c r="I22" s="18">
        <v>6.8633000575500001</v>
      </c>
      <c r="J22" s="18">
        <v>367388.54</v>
      </c>
      <c r="K22" s="17" t="s">
        <v>2039</v>
      </c>
      <c r="L22" s="23" t="s">
        <v>2075</v>
      </c>
      <c r="M22" s="24"/>
      <c r="O22" s="25"/>
    </row>
    <row r="23" spans="1:15">
      <c r="A23" s="19">
        <v>22</v>
      </c>
      <c r="B23" s="19"/>
      <c r="C23" s="19"/>
      <c r="D23" s="19"/>
      <c r="E23" s="17" t="s">
        <v>2073</v>
      </c>
      <c r="F23" s="17" t="s">
        <v>2076</v>
      </c>
      <c r="G23" s="17" t="s">
        <v>394</v>
      </c>
      <c r="H23" s="18">
        <v>6610</v>
      </c>
      <c r="I23" s="18">
        <v>6.8632995461400004</v>
      </c>
      <c r="J23" s="18">
        <v>45366.41</v>
      </c>
      <c r="K23" s="17" t="s">
        <v>2039</v>
      </c>
      <c r="L23" s="23" t="s">
        <v>2077</v>
      </c>
      <c r="M23" s="24"/>
      <c r="O23" s="25"/>
    </row>
    <row r="24" spans="1:15">
      <c r="A24" s="19">
        <v>23</v>
      </c>
      <c r="B24" s="19"/>
      <c r="C24" s="19"/>
      <c r="D24" s="19"/>
      <c r="E24" s="17" t="s">
        <v>2073</v>
      </c>
      <c r="F24" s="17" t="s">
        <v>2078</v>
      </c>
      <c r="G24" s="17" t="s">
        <v>394</v>
      </c>
      <c r="H24" s="18">
        <v>16499.580000000002</v>
      </c>
      <c r="I24" s="18">
        <v>6.8633001567300003</v>
      </c>
      <c r="J24" s="18">
        <v>113241.57</v>
      </c>
      <c r="K24" s="17" t="s">
        <v>2039</v>
      </c>
      <c r="L24" s="23" t="s">
        <v>2079</v>
      </c>
      <c r="M24" s="24"/>
      <c r="O24" s="25"/>
    </row>
    <row r="25" spans="1:15">
      <c r="A25" s="19">
        <v>24</v>
      </c>
      <c r="B25" s="19"/>
      <c r="C25" s="19"/>
      <c r="D25" s="19"/>
      <c r="E25" s="17" t="s">
        <v>2073</v>
      </c>
      <c r="F25" s="17" t="s">
        <v>2047</v>
      </c>
      <c r="G25" s="17" t="s">
        <v>394</v>
      </c>
      <c r="H25" s="18">
        <v>44633.58</v>
      </c>
      <c r="I25" s="18">
        <v>6.8633000086399996</v>
      </c>
      <c r="J25" s="18">
        <v>306333.65000000002</v>
      </c>
      <c r="K25" s="17" t="s">
        <v>2039</v>
      </c>
      <c r="L25" s="23" t="s">
        <v>2048</v>
      </c>
      <c r="M25" s="24"/>
      <c r="O25" s="25"/>
    </row>
    <row r="26" spans="1:15">
      <c r="A26" s="19">
        <v>25</v>
      </c>
      <c r="B26" s="19"/>
      <c r="C26" s="19"/>
      <c r="D26" s="19"/>
      <c r="E26" s="17" t="s">
        <v>2073</v>
      </c>
      <c r="F26" s="17" t="s">
        <v>2078</v>
      </c>
      <c r="G26" s="17" t="s">
        <v>394</v>
      </c>
      <c r="H26" s="18">
        <v>14011.81</v>
      </c>
      <c r="I26" s="18">
        <v>6.8633003159400001</v>
      </c>
      <c r="J26" s="18">
        <v>96167.26</v>
      </c>
      <c r="K26" s="17" t="s">
        <v>2039</v>
      </c>
      <c r="L26" s="23" t="s">
        <v>2080</v>
      </c>
      <c r="M26" s="24"/>
      <c r="O26" s="25"/>
    </row>
    <row r="27" spans="1:15">
      <c r="A27" s="19">
        <v>26</v>
      </c>
      <c r="B27" s="19"/>
      <c r="C27" s="19"/>
      <c r="D27" s="19"/>
      <c r="E27" s="17" t="s">
        <v>2073</v>
      </c>
      <c r="F27" s="17" t="s">
        <v>2054</v>
      </c>
      <c r="G27" s="17" t="s">
        <v>453</v>
      </c>
      <c r="H27" s="18">
        <v>22281.49</v>
      </c>
      <c r="I27" s="18">
        <v>6.8632999857700003</v>
      </c>
      <c r="J27" s="18">
        <v>152924.54999999999</v>
      </c>
      <c r="K27" s="17" t="s">
        <v>2039</v>
      </c>
      <c r="L27" s="23" t="s">
        <v>2081</v>
      </c>
      <c r="M27" s="24"/>
      <c r="O27" s="25"/>
    </row>
    <row r="28" spans="1:15">
      <c r="A28" s="19">
        <v>27</v>
      </c>
      <c r="B28" s="19"/>
      <c r="C28" s="19"/>
      <c r="D28" s="19"/>
      <c r="E28" s="17" t="s">
        <v>2073</v>
      </c>
      <c r="F28" s="17" t="s">
        <v>2074</v>
      </c>
      <c r="G28" s="17" t="s">
        <v>670</v>
      </c>
      <c r="H28" s="18">
        <v>53665.71</v>
      </c>
      <c r="I28" s="18">
        <v>6.8633999252000004</v>
      </c>
      <c r="J28" s="18">
        <v>368329.23</v>
      </c>
      <c r="K28" s="17" t="s">
        <v>2039</v>
      </c>
      <c r="L28" s="23" t="s">
        <v>2082</v>
      </c>
      <c r="M28" s="24"/>
      <c r="O28" s="25"/>
    </row>
    <row r="29" spans="1:15">
      <c r="A29" s="19">
        <v>28</v>
      </c>
      <c r="B29" s="19"/>
      <c r="C29" s="19"/>
      <c r="D29" s="19"/>
      <c r="E29" s="17" t="s">
        <v>2073</v>
      </c>
      <c r="F29" s="17" t="s">
        <v>2078</v>
      </c>
      <c r="G29" s="17" t="s">
        <v>394</v>
      </c>
      <c r="H29" s="18">
        <v>131017.23</v>
      </c>
      <c r="I29" s="18">
        <v>6.8632999644300003</v>
      </c>
      <c r="J29" s="18">
        <v>899210.55</v>
      </c>
      <c r="K29" s="17" t="s">
        <v>2039</v>
      </c>
      <c r="L29" s="23" t="s">
        <v>2083</v>
      </c>
      <c r="M29" s="24"/>
      <c r="O29" s="25"/>
    </row>
    <row r="30" spans="1:15">
      <c r="A30" s="19">
        <v>29</v>
      </c>
      <c r="B30" s="19"/>
      <c r="C30" s="19"/>
      <c r="D30" s="19"/>
      <c r="E30" s="17" t="s">
        <v>2084</v>
      </c>
      <c r="F30" s="17" t="s">
        <v>2045</v>
      </c>
      <c r="G30" s="17" t="s">
        <v>394</v>
      </c>
      <c r="H30" s="18">
        <v>29166.080000000002</v>
      </c>
      <c r="I30" s="18">
        <v>6.8721000559499998</v>
      </c>
      <c r="J30" s="18">
        <v>200432.22</v>
      </c>
      <c r="K30" s="17" t="s">
        <v>2039</v>
      </c>
      <c r="L30" s="23" t="s">
        <v>2085</v>
      </c>
      <c r="M30" s="24"/>
      <c r="O30" s="25"/>
    </row>
    <row r="31" spans="1:15">
      <c r="A31" s="19">
        <v>30</v>
      </c>
      <c r="B31" s="19"/>
      <c r="C31" s="19"/>
      <c r="D31" s="19"/>
      <c r="E31" s="17" t="s">
        <v>2084</v>
      </c>
      <c r="F31" s="17" t="s">
        <v>2061</v>
      </c>
      <c r="G31" s="17" t="s">
        <v>453</v>
      </c>
      <c r="H31" s="18">
        <v>67895.3</v>
      </c>
      <c r="I31" s="18">
        <v>6.8721999902700004</v>
      </c>
      <c r="J31" s="18">
        <v>466590.08</v>
      </c>
      <c r="K31" s="17" t="s">
        <v>2039</v>
      </c>
      <c r="L31" s="23" t="s">
        <v>2086</v>
      </c>
      <c r="M31" s="24"/>
      <c r="O31" s="25"/>
    </row>
    <row r="32" spans="1:15">
      <c r="A32" s="19">
        <v>31</v>
      </c>
      <c r="B32" s="19"/>
      <c r="C32" s="19"/>
      <c r="D32" s="19"/>
      <c r="E32" s="17" t="s">
        <v>2084</v>
      </c>
      <c r="F32" s="17" t="s">
        <v>2056</v>
      </c>
      <c r="G32" s="17" t="s">
        <v>394</v>
      </c>
      <c r="H32" s="18">
        <v>18341.12</v>
      </c>
      <c r="I32" s="18">
        <v>6.8721997347999997</v>
      </c>
      <c r="J32" s="18">
        <v>126043.84</v>
      </c>
      <c r="K32" s="17" t="s">
        <v>2039</v>
      </c>
      <c r="L32" s="23" t="s">
        <v>2087</v>
      </c>
      <c r="M32" s="24"/>
      <c r="O32" s="25"/>
    </row>
    <row r="33" spans="1:15">
      <c r="A33" s="19">
        <v>32</v>
      </c>
      <c r="B33" s="19"/>
      <c r="C33" s="19"/>
      <c r="D33" s="19"/>
      <c r="E33" s="17" t="s">
        <v>2084</v>
      </c>
      <c r="F33" s="17" t="s">
        <v>2074</v>
      </c>
      <c r="G33" s="17" t="s">
        <v>670</v>
      </c>
      <c r="H33" s="18">
        <v>53704.3</v>
      </c>
      <c r="I33" s="18">
        <v>6.8720999994399996</v>
      </c>
      <c r="J33" s="18">
        <v>369061.32</v>
      </c>
      <c r="K33" s="17" t="s">
        <v>2039</v>
      </c>
      <c r="L33" s="23" t="s">
        <v>2088</v>
      </c>
      <c r="M33" s="24"/>
      <c r="O33" s="25"/>
    </row>
    <row r="34" spans="1:15">
      <c r="A34" s="19">
        <v>33</v>
      </c>
      <c r="B34" s="19"/>
      <c r="C34" s="19"/>
      <c r="D34" s="19"/>
      <c r="E34" s="17" t="s">
        <v>2084</v>
      </c>
      <c r="F34" s="17" t="s">
        <v>2076</v>
      </c>
      <c r="G34" s="17" t="s">
        <v>394</v>
      </c>
      <c r="H34" s="18">
        <v>14506.98</v>
      </c>
      <c r="I34" s="18">
        <v>6.8721001890100002</v>
      </c>
      <c r="J34" s="18">
        <v>99693.42</v>
      </c>
      <c r="K34" s="17" t="s">
        <v>2039</v>
      </c>
      <c r="L34" s="23" t="s">
        <v>2077</v>
      </c>
      <c r="M34" s="24"/>
      <c r="O34" s="25"/>
    </row>
    <row r="35" spans="1:15">
      <c r="A35" s="19">
        <v>34</v>
      </c>
      <c r="B35" s="19"/>
      <c r="C35" s="19"/>
      <c r="D35" s="19"/>
      <c r="E35" s="17" t="s">
        <v>2084</v>
      </c>
      <c r="F35" s="17" t="s">
        <v>2089</v>
      </c>
      <c r="G35" s="17" t="s">
        <v>394</v>
      </c>
      <c r="H35" s="18">
        <v>17481.560000000001</v>
      </c>
      <c r="I35" s="18">
        <v>6.8721000871699998</v>
      </c>
      <c r="J35" s="18">
        <v>120135.03</v>
      </c>
      <c r="K35" s="17" t="s">
        <v>2039</v>
      </c>
      <c r="L35" s="23" t="s">
        <v>2090</v>
      </c>
      <c r="M35" s="24"/>
      <c r="O35" s="25"/>
    </row>
    <row r="36" spans="1:15">
      <c r="A36" s="19">
        <v>35</v>
      </c>
      <c r="B36" s="19"/>
      <c r="C36" s="19"/>
      <c r="D36" s="19"/>
      <c r="E36" s="17" t="s">
        <v>2084</v>
      </c>
      <c r="F36" s="17" t="s">
        <v>2051</v>
      </c>
      <c r="G36" s="17" t="s">
        <v>690</v>
      </c>
      <c r="H36" s="18">
        <v>60415.86</v>
      </c>
      <c r="I36" s="18">
        <v>6.8723998963100001</v>
      </c>
      <c r="J36" s="18">
        <v>415201.95</v>
      </c>
      <c r="K36" s="17" t="s">
        <v>2039</v>
      </c>
      <c r="L36" s="23" t="s">
        <v>2091</v>
      </c>
      <c r="M36" s="24"/>
      <c r="O36" s="25"/>
    </row>
    <row r="37" spans="1:15">
      <c r="A37" s="19">
        <v>36</v>
      </c>
      <c r="B37" s="20"/>
      <c r="C37" s="19"/>
      <c r="D37" s="19"/>
      <c r="E37" s="17" t="s">
        <v>2084</v>
      </c>
      <c r="F37" s="17" t="s">
        <v>2069</v>
      </c>
      <c r="G37" s="17" t="s">
        <v>459</v>
      </c>
      <c r="H37" s="18">
        <v>239917.33</v>
      </c>
      <c r="I37" s="18">
        <v>6.8722000198900002</v>
      </c>
      <c r="J37" s="18">
        <v>1648759.88</v>
      </c>
      <c r="K37" s="15" t="s">
        <v>2039</v>
      </c>
      <c r="L37" s="23" t="s">
        <v>2092</v>
      </c>
      <c r="M37" s="24"/>
      <c r="O37" s="25"/>
    </row>
    <row r="38" spans="1:15">
      <c r="A38" s="19">
        <v>37</v>
      </c>
      <c r="B38" s="19"/>
      <c r="C38" s="19"/>
      <c r="D38" s="19"/>
      <c r="E38" s="17" t="s">
        <v>2084</v>
      </c>
      <c r="F38" s="17" t="s">
        <v>2061</v>
      </c>
      <c r="G38" s="17" t="s">
        <v>453</v>
      </c>
      <c r="H38" s="18">
        <v>80994.31</v>
      </c>
      <c r="I38" s="18">
        <v>6.8722000347899996</v>
      </c>
      <c r="J38" s="18">
        <v>556609.1</v>
      </c>
      <c r="K38" s="17" t="s">
        <v>2039</v>
      </c>
      <c r="L38" s="23" t="s">
        <v>2093</v>
      </c>
      <c r="M38" s="24"/>
      <c r="O38" s="25"/>
    </row>
    <row r="39" spans="1:15">
      <c r="A39" s="19">
        <v>38</v>
      </c>
      <c r="B39" s="19"/>
      <c r="C39" s="19"/>
      <c r="D39" s="19"/>
      <c r="E39" s="17" t="s">
        <v>2094</v>
      </c>
      <c r="F39" s="17" t="s">
        <v>2074</v>
      </c>
      <c r="G39" s="17" t="s">
        <v>670</v>
      </c>
      <c r="H39" s="18">
        <v>53588.12</v>
      </c>
      <c r="I39" s="18">
        <v>6.87189996588</v>
      </c>
      <c r="J39" s="18">
        <v>368252.2</v>
      </c>
      <c r="K39" s="17" t="s">
        <v>2039</v>
      </c>
      <c r="L39" s="23" t="s">
        <v>2088</v>
      </c>
      <c r="M39" s="24"/>
      <c r="O39" s="25"/>
    </row>
    <row r="40" spans="1:15">
      <c r="A40" s="19">
        <v>39</v>
      </c>
      <c r="B40" s="19"/>
      <c r="C40" s="19"/>
      <c r="D40" s="19"/>
      <c r="E40" s="17" t="s">
        <v>2095</v>
      </c>
      <c r="F40" s="17" t="s">
        <v>2065</v>
      </c>
      <c r="G40" s="17" t="s">
        <v>394</v>
      </c>
      <c r="H40" s="18">
        <v>64889.52</v>
      </c>
      <c r="I40" s="18">
        <v>6.873599928</v>
      </c>
      <c r="J40" s="18">
        <v>446024.6</v>
      </c>
      <c r="K40" s="17" t="s">
        <v>2039</v>
      </c>
      <c r="L40" s="23" t="s">
        <v>2096</v>
      </c>
      <c r="M40" s="24"/>
      <c r="O40" s="25"/>
    </row>
    <row r="41" spans="1:15">
      <c r="A41" s="19">
        <v>40</v>
      </c>
      <c r="B41" s="19"/>
      <c r="C41" s="19"/>
      <c r="D41" s="19"/>
      <c r="E41" s="17" t="s">
        <v>2095</v>
      </c>
      <c r="F41" s="17" t="s">
        <v>2097</v>
      </c>
      <c r="G41" s="17" t="s">
        <v>394</v>
      </c>
      <c r="H41" s="18">
        <v>289969.77</v>
      </c>
      <c r="I41" s="18">
        <v>6.8735999963000003</v>
      </c>
      <c r="J41" s="18">
        <v>1993136.21</v>
      </c>
      <c r="K41" s="17" t="s">
        <v>2039</v>
      </c>
      <c r="L41" s="23" t="s">
        <v>2098</v>
      </c>
      <c r="M41" s="24"/>
      <c r="O41" s="25"/>
    </row>
    <row r="42" spans="1:15">
      <c r="A42" s="19">
        <v>41</v>
      </c>
      <c r="B42" s="19"/>
      <c r="C42" s="19"/>
      <c r="D42" s="19"/>
      <c r="E42" s="17" t="s">
        <v>2095</v>
      </c>
      <c r="F42" s="17" t="s">
        <v>2078</v>
      </c>
      <c r="G42" s="17" t="s">
        <v>394</v>
      </c>
      <c r="H42" s="18">
        <v>18890.509999999998</v>
      </c>
      <c r="I42" s="18">
        <v>6.8733999240800001</v>
      </c>
      <c r="J42" s="18">
        <v>129842.03</v>
      </c>
      <c r="K42" s="17" t="s">
        <v>2039</v>
      </c>
      <c r="L42" s="23" t="s">
        <v>2099</v>
      </c>
      <c r="M42" s="24"/>
      <c r="O42" s="25"/>
    </row>
    <row r="43" spans="1:15">
      <c r="A43" s="19">
        <v>42</v>
      </c>
      <c r="B43" s="19"/>
      <c r="C43" s="19"/>
      <c r="D43" s="19"/>
      <c r="E43" s="17" t="s">
        <v>2095</v>
      </c>
      <c r="F43" s="17" t="s">
        <v>2078</v>
      </c>
      <c r="G43" s="17" t="s">
        <v>394</v>
      </c>
      <c r="H43" s="18">
        <v>15273.46</v>
      </c>
      <c r="I43" s="18">
        <v>6.8734000023500004</v>
      </c>
      <c r="J43" s="18">
        <v>104980.6</v>
      </c>
      <c r="K43" s="17" t="s">
        <v>2039</v>
      </c>
      <c r="L43" s="23" t="s">
        <v>2079</v>
      </c>
      <c r="M43" s="24"/>
      <c r="O43" s="25"/>
    </row>
    <row r="44" spans="1:15">
      <c r="A44" s="19">
        <v>43</v>
      </c>
      <c r="B44" s="19"/>
      <c r="C44" s="19"/>
      <c r="D44" s="19"/>
      <c r="E44" s="17" t="s">
        <v>2095</v>
      </c>
      <c r="F44" s="17" t="s">
        <v>2097</v>
      </c>
      <c r="G44" s="17" t="s">
        <v>394</v>
      </c>
      <c r="H44" s="18">
        <v>14663.28</v>
      </c>
      <c r="I44" s="18">
        <v>6.8737001543899998</v>
      </c>
      <c r="J44" s="18">
        <v>100790.99</v>
      </c>
      <c r="K44" s="17" t="s">
        <v>2039</v>
      </c>
      <c r="L44" s="23" t="s">
        <v>2100</v>
      </c>
      <c r="M44" s="24"/>
      <c r="O44" s="25"/>
    </row>
    <row r="45" spans="1:15">
      <c r="A45" s="19">
        <v>44</v>
      </c>
      <c r="B45" s="19"/>
      <c r="C45" s="19"/>
      <c r="D45" s="19"/>
      <c r="E45" s="17" t="s">
        <v>2095</v>
      </c>
      <c r="F45" s="17" t="s">
        <v>2101</v>
      </c>
      <c r="G45" s="17" t="s">
        <v>394</v>
      </c>
      <c r="H45" s="18">
        <v>17522.900000000001</v>
      </c>
      <c r="I45" s="18">
        <v>6.8738998681699996</v>
      </c>
      <c r="J45" s="18">
        <v>120450.66</v>
      </c>
      <c r="K45" s="17" t="s">
        <v>2039</v>
      </c>
      <c r="L45" s="23" t="s">
        <v>2102</v>
      </c>
      <c r="M45" s="24"/>
      <c r="O45" s="25"/>
    </row>
    <row r="46" spans="1:15">
      <c r="A46" s="19">
        <v>45</v>
      </c>
      <c r="B46" s="19"/>
      <c r="C46" s="19"/>
      <c r="D46" s="19"/>
      <c r="E46" s="17" t="s">
        <v>2095</v>
      </c>
      <c r="F46" s="17" t="s">
        <v>2051</v>
      </c>
      <c r="G46" s="17" t="s">
        <v>690</v>
      </c>
      <c r="H46" s="18">
        <v>42465.62</v>
      </c>
      <c r="I46" s="18">
        <v>6.8739999557200004</v>
      </c>
      <c r="J46" s="18">
        <v>291908.67</v>
      </c>
      <c r="K46" s="17" t="s">
        <v>2039</v>
      </c>
      <c r="L46" s="23" t="s">
        <v>2103</v>
      </c>
      <c r="M46" s="24"/>
      <c r="O46" s="25"/>
    </row>
    <row r="47" spans="1:15">
      <c r="A47" s="19">
        <v>46</v>
      </c>
      <c r="B47" s="19"/>
      <c r="C47" s="19"/>
      <c r="D47" s="19"/>
      <c r="E47" s="17" t="s">
        <v>2095</v>
      </c>
      <c r="F47" s="17" t="s">
        <v>2047</v>
      </c>
      <c r="G47" s="17" t="s">
        <v>394</v>
      </c>
      <c r="H47" s="18">
        <v>72833.72</v>
      </c>
      <c r="I47" s="18">
        <v>6.87399998242</v>
      </c>
      <c r="J47" s="18">
        <v>500658.99</v>
      </c>
      <c r="K47" s="17" t="s">
        <v>2039</v>
      </c>
      <c r="L47" s="23" t="s">
        <v>2048</v>
      </c>
      <c r="M47" s="24"/>
      <c r="O47" s="25"/>
    </row>
    <row r="48" spans="1:15">
      <c r="A48" s="19">
        <v>47</v>
      </c>
      <c r="B48" s="19"/>
      <c r="C48" s="19"/>
      <c r="D48" s="19"/>
      <c r="E48" s="17" t="s">
        <v>2095</v>
      </c>
      <c r="F48" s="17" t="s">
        <v>2041</v>
      </c>
      <c r="G48" s="17" t="s">
        <v>453</v>
      </c>
      <c r="H48" s="18">
        <v>19284.57</v>
      </c>
      <c r="I48" s="18">
        <v>6.8739997832400004</v>
      </c>
      <c r="J48" s="18">
        <v>132562.13</v>
      </c>
      <c r="K48" s="17" t="s">
        <v>2039</v>
      </c>
      <c r="L48" s="23" t="s">
        <v>2104</v>
      </c>
      <c r="M48" s="24"/>
      <c r="O48" s="25"/>
    </row>
    <row r="49" spans="1:16">
      <c r="A49" s="19">
        <v>48</v>
      </c>
      <c r="B49" s="19"/>
      <c r="C49" s="19"/>
      <c r="D49" s="19"/>
      <c r="E49" s="17" t="s">
        <v>2105</v>
      </c>
      <c r="F49" s="17" t="s">
        <v>2045</v>
      </c>
      <c r="G49" s="17" t="s">
        <v>394</v>
      </c>
      <c r="H49" s="18">
        <v>10000</v>
      </c>
      <c r="I49" s="18">
        <v>6.8696000000000002</v>
      </c>
      <c r="J49" s="18">
        <v>68696</v>
      </c>
      <c r="K49" s="17" t="s">
        <v>2039</v>
      </c>
      <c r="L49" s="23" t="s">
        <v>2106</v>
      </c>
      <c r="M49" s="24"/>
      <c r="O49" s="25"/>
    </row>
    <row r="50" spans="1:16">
      <c r="A50" s="19">
        <v>49</v>
      </c>
      <c r="B50" s="19"/>
      <c r="C50" s="19"/>
      <c r="D50" s="19"/>
      <c r="E50" s="17" t="s">
        <v>1463</v>
      </c>
      <c r="F50" s="17" t="s">
        <v>2061</v>
      </c>
      <c r="G50" s="17" t="s">
        <v>453</v>
      </c>
      <c r="H50" s="18">
        <v>109848.64</v>
      </c>
      <c r="I50" s="18">
        <v>6.88230004486</v>
      </c>
      <c r="J50" s="18">
        <v>756011.3</v>
      </c>
      <c r="K50" s="17" t="s">
        <v>2039</v>
      </c>
      <c r="L50" s="23" t="s">
        <v>2107</v>
      </c>
      <c r="M50" s="26"/>
      <c r="O50" s="25"/>
    </row>
    <row r="51" spans="1:16">
      <c r="A51" s="19">
        <v>50</v>
      </c>
      <c r="B51" s="19"/>
      <c r="C51" s="19"/>
      <c r="D51" s="19"/>
      <c r="E51" s="17" t="s">
        <v>1463</v>
      </c>
      <c r="F51" s="17" t="s">
        <v>2074</v>
      </c>
      <c r="G51" s="17" t="s">
        <v>670</v>
      </c>
      <c r="H51" s="18">
        <v>52442.28</v>
      </c>
      <c r="I51" s="18">
        <v>6.8822999305100003</v>
      </c>
      <c r="J51" s="18">
        <v>360923.5</v>
      </c>
      <c r="K51" s="17" t="s">
        <v>2039</v>
      </c>
      <c r="L51" s="23" t="s">
        <v>2108</v>
      </c>
      <c r="M51" s="24"/>
      <c r="O51" s="25"/>
    </row>
    <row r="52" spans="1:16">
      <c r="A52" s="19">
        <v>51</v>
      </c>
      <c r="B52" s="19"/>
      <c r="C52" s="19"/>
      <c r="D52" s="19"/>
      <c r="E52" s="17" t="s">
        <v>1463</v>
      </c>
      <c r="F52" s="17" t="s">
        <v>2078</v>
      </c>
      <c r="G52" s="17" t="s">
        <v>394</v>
      </c>
      <c r="H52" s="18">
        <v>117044.73</v>
      </c>
      <c r="I52" s="18">
        <v>6.8821327538599997</v>
      </c>
      <c r="J52" s="18">
        <v>805517.37</v>
      </c>
      <c r="K52" s="17" t="s">
        <v>2039</v>
      </c>
      <c r="L52" s="23" t="s">
        <v>2109</v>
      </c>
      <c r="M52" s="24"/>
      <c r="O52" s="25"/>
    </row>
    <row r="53" spans="1:16">
      <c r="A53" s="19">
        <v>52</v>
      </c>
      <c r="B53" s="19"/>
      <c r="C53" s="19"/>
      <c r="D53" s="19"/>
      <c r="E53" s="17" t="s">
        <v>1463</v>
      </c>
      <c r="F53" s="17" t="s">
        <v>2078</v>
      </c>
      <c r="G53" s="17" t="s">
        <v>394</v>
      </c>
      <c r="H53" s="18">
        <v>45335.92</v>
      </c>
      <c r="I53" s="18">
        <v>6.8819018120699997</v>
      </c>
      <c r="J53" s="18">
        <v>311997.34999999998</v>
      </c>
      <c r="K53" s="17" t="s">
        <v>2039</v>
      </c>
      <c r="L53" s="23" t="s">
        <v>2110</v>
      </c>
      <c r="M53" s="24"/>
      <c r="O53" s="25"/>
    </row>
    <row r="54" spans="1:16">
      <c r="A54" s="19">
        <v>53</v>
      </c>
      <c r="B54" s="19"/>
      <c r="C54" s="19"/>
      <c r="D54" s="19"/>
      <c r="E54" s="17" t="s">
        <v>1463</v>
      </c>
      <c r="F54" s="17" t="s">
        <v>2041</v>
      </c>
      <c r="G54" s="17" t="s">
        <v>453</v>
      </c>
      <c r="H54" s="18">
        <v>18289.82</v>
      </c>
      <c r="I54" s="18">
        <v>6.8794001253100001</v>
      </c>
      <c r="J54" s="18">
        <v>125822.99</v>
      </c>
      <c r="K54" s="17" t="s">
        <v>2039</v>
      </c>
      <c r="L54" s="23" t="s">
        <v>2111</v>
      </c>
      <c r="M54" s="24"/>
      <c r="O54" s="25"/>
    </row>
    <row r="55" spans="1:16">
      <c r="A55" s="19">
        <v>54</v>
      </c>
      <c r="B55" s="19"/>
      <c r="C55" s="19"/>
      <c r="D55" s="19"/>
      <c r="E55" s="17" t="s">
        <v>1463</v>
      </c>
      <c r="F55" s="17" t="s">
        <v>2112</v>
      </c>
      <c r="G55" s="17" t="s">
        <v>394</v>
      </c>
      <c r="H55" s="18">
        <v>9980</v>
      </c>
      <c r="I55" s="18">
        <v>6.8791002003999999</v>
      </c>
      <c r="J55" s="18">
        <v>68653.42</v>
      </c>
      <c r="K55" s="17" t="s">
        <v>2039</v>
      </c>
      <c r="L55" s="23" t="s">
        <v>2113</v>
      </c>
      <c r="M55" s="24"/>
      <c r="O55" s="25"/>
    </row>
    <row r="56" spans="1:16">
      <c r="A56" s="19">
        <v>55</v>
      </c>
      <c r="B56" s="19"/>
      <c r="C56" s="19"/>
      <c r="D56" s="19"/>
      <c r="E56" s="17" t="s">
        <v>1463</v>
      </c>
      <c r="F56" s="17" t="s">
        <v>2078</v>
      </c>
      <c r="G56" s="17" t="s">
        <v>394</v>
      </c>
      <c r="H56" s="18">
        <v>32269.040000000001</v>
      </c>
      <c r="I56" s="18">
        <v>6.8790001189899996</v>
      </c>
      <c r="J56" s="18">
        <v>221978.73</v>
      </c>
      <c r="K56" s="17" t="s">
        <v>2039</v>
      </c>
      <c r="L56" s="23" t="s">
        <v>2114</v>
      </c>
      <c r="M56" s="24"/>
      <c r="O56" s="25"/>
      <c r="P56" s="27"/>
    </row>
    <row r="57" spans="1:16">
      <c r="A57" s="19">
        <v>56</v>
      </c>
      <c r="B57" s="19"/>
      <c r="C57" s="19"/>
      <c r="D57" s="19"/>
      <c r="E57" s="17" t="s">
        <v>2115</v>
      </c>
      <c r="F57" s="17" t="s">
        <v>2074</v>
      </c>
      <c r="G57" s="17" t="s">
        <v>670</v>
      </c>
      <c r="H57" s="18">
        <v>51289.81</v>
      </c>
      <c r="I57" s="18">
        <v>6.9295</v>
      </c>
      <c r="J57" s="18">
        <v>355412.74</v>
      </c>
      <c r="K57" s="17" t="s">
        <v>2039</v>
      </c>
      <c r="L57" s="23" t="s">
        <v>2116</v>
      </c>
      <c r="M57" s="24"/>
    </row>
    <row r="58" spans="1:16">
      <c r="A58" s="19">
        <v>57</v>
      </c>
      <c r="B58" s="19"/>
      <c r="C58" s="19"/>
      <c r="D58" s="19"/>
      <c r="E58" s="17" t="s">
        <v>2115</v>
      </c>
      <c r="F58" s="17" t="s">
        <v>2071</v>
      </c>
      <c r="G58" s="17" t="s">
        <v>453</v>
      </c>
      <c r="H58" s="18">
        <v>19966.2</v>
      </c>
      <c r="I58" s="18">
        <v>6.9294000000000002</v>
      </c>
      <c r="J58" s="18">
        <v>138355.78</v>
      </c>
      <c r="K58" s="17" t="s">
        <v>2039</v>
      </c>
      <c r="L58" s="23" t="s">
        <v>2117</v>
      </c>
      <c r="M58" s="24"/>
    </row>
    <row r="59" spans="1:16">
      <c r="A59" s="19">
        <v>58</v>
      </c>
      <c r="B59" s="19"/>
      <c r="C59" s="19"/>
      <c r="D59" s="19"/>
      <c r="E59" s="17" t="s">
        <v>2115</v>
      </c>
      <c r="F59" s="17" t="s">
        <v>2038</v>
      </c>
      <c r="G59" s="17" t="s">
        <v>394</v>
      </c>
      <c r="H59" s="18">
        <v>13169.51</v>
      </c>
      <c r="I59" s="18">
        <v>6.9295</v>
      </c>
      <c r="J59" s="18">
        <v>91258.12</v>
      </c>
      <c r="K59" s="17" t="s">
        <v>2039</v>
      </c>
      <c r="L59" s="23" t="s">
        <v>2118</v>
      </c>
      <c r="M59" s="24"/>
    </row>
    <row r="60" spans="1:16">
      <c r="A60" s="19">
        <v>59</v>
      </c>
      <c r="B60" s="19"/>
      <c r="C60" s="19"/>
      <c r="D60" s="19"/>
      <c r="E60" s="17" t="s">
        <v>2115</v>
      </c>
      <c r="F60" s="17" t="s">
        <v>2065</v>
      </c>
      <c r="G60" s="17" t="s">
        <v>394</v>
      </c>
      <c r="H60" s="18">
        <v>160368.87</v>
      </c>
      <c r="I60" s="18">
        <v>6.9294000000000002</v>
      </c>
      <c r="J60" s="18">
        <v>1111276.08</v>
      </c>
      <c r="K60" s="17" t="s">
        <v>2039</v>
      </c>
      <c r="L60" s="23" t="s">
        <v>2119</v>
      </c>
      <c r="M60" s="24"/>
    </row>
    <row r="61" spans="1:16">
      <c r="A61" s="19">
        <v>60</v>
      </c>
      <c r="B61" s="19"/>
      <c r="C61" s="19"/>
      <c r="D61" s="19"/>
      <c r="E61" s="17" t="s">
        <v>2115</v>
      </c>
      <c r="F61" s="17" t="s">
        <v>2038</v>
      </c>
      <c r="G61" s="17" t="s">
        <v>394</v>
      </c>
      <c r="H61" s="18">
        <v>13104.76</v>
      </c>
      <c r="I61" s="18">
        <v>6.9291</v>
      </c>
      <c r="J61" s="18">
        <v>90805.5</v>
      </c>
      <c r="K61" s="17" t="s">
        <v>2039</v>
      </c>
      <c r="L61" s="23" t="s">
        <v>2118</v>
      </c>
      <c r="M61" s="24"/>
    </row>
    <row r="62" spans="1:16">
      <c r="A62" s="19">
        <v>61</v>
      </c>
      <c r="B62" s="19"/>
      <c r="C62" s="19"/>
      <c r="D62" s="19"/>
      <c r="E62" s="17" t="s">
        <v>2115</v>
      </c>
      <c r="F62" s="17" t="s">
        <v>2049</v>
      </c>
      <c r="G62" s="17" t="s">
        <v>394</v>
      </c>
      <c r="H62" s="18">
        <v>8600</v>
      </c>
      <c r="I62" s="18">
        <v>6.9291999999999998</v>
      </c>
      <c r="J62" s="18">
        <v>59591.12</v>
      </c>
      <c r="K62" s="17" t="s">
        <v>2039</v>
      </c>
      <c r="L62" s="23" t="s">
        <v>2120</v>
      </c>
      <c r="M62" s="24"/>
    </row>
    <row r="63" spans="1:16">
      <c r="A63" s="19">
        <v>62</v>
      </c>
      <c r="B63" s="19"/>
      <c r="C63" s="19"/>
      <c r="D63" s="19"/>
      <c r="E63" s="17" t="s">
        <v>2121</v>
      </c>
      <c r="F63" s="17" t="s">
        <v>2078</v>
      </c>
      <c r="G63" s="17" t="s">
        <v>394</v>
      </c>
      <c r="H63" s="18">
        <v>24495.439999999999</v>
      </c>
      <c r="I63" s="18">
        <v>7.0256998853599999</v>
      </c>
      <c r="J63" s="18">
        <v>172097.61</v>
      </c>
      <c r="K63" s="17" t="s">
        <v>2039</v>
      </c>
      <c r="L63" s="23" t="s">
        <v>2122</v>
      </c>
      <c r="M63" s="24"/>
    </row>
    <row r="64" spans="1:16">
      <c r="A64" s="19">
        <v>63</v>
      </c>
      <c r="B64" s="19"/>
      <c r="C64" s="19"/>
      <c r="D64" s="19"/>
      <c r="E64" s="17" t="s">
        <v>2121</v>
      </c>
      <c r="F64" s="17" t="s">
        <v>2078</v>
      </c>
      <c r="G64" s="17" t="s">
        <v>394</v>
      </c>
      <c r="H64" s="18">
        <v>19981.400000000001</v>
      </c>
      <c r="I64" s="18">
        <v>7.0256999009000003</v>
      </c>
      <c r="J64" s="18">
        <v>140383.32</v>
      </c>
      <c r="K64" s="17" t="s">
        <v>2039</v>
      </c>
      <c r="L64" s="23" t="s">
        <v>2122</v>
      </c>
      <c r="M64" s="24"/>
    </row>
    <row r="65" spans="1:13">
      <c r="A65" s="19">
        <v>64</v>
      </c>
      <c r="B65" s="19"/>
      <c r="C65" s="19"/>
      <c r="D65" s="19"/>
      <c r="E65" s="17" t="s">
        <v>2121</v>
      </c>
      <c r="F65" s="17" t="s">
        <v>2047</v>
      </c>
      <c r="G65" s="17" t="s">
        <v>394</v>
      </c>
      <c r="H65" s="18">
        <v>97288.24</v>
      </c>
      <c r="I65" s="18">
        <v>7.0244999806699999</v>
      </c>
      <c r="J65" s="18">
        <v>683401.24</v>
      </c>
      <c r="K65" s="17" t="s">
        <v>2039</v>
      </c>
      <c r="L65" s="23" t="s">
        <v>2123</v>
      </c>
      <c r="M65" s="24"/>
    </row>
    <row r="66" spans="1:13">
      <c r="A66" s="19">
        <v>65</v>
      </c>
      <c r="B66" s="19"/>
      <c r="C66" s="19"/>
      <c r="D66" s="19"/>
      <c r="E66" s="17" t="s">
        <v>2121</v>
      </c>
      <c r="F66" s="17" t="s">
        <v>2047</v>
      </c>
      <c r="G66" s="17" t="s">
        <v>394</v>
      </c>
      <c r="H66" s="18">
        <v>46160.18</v>
      </c>
      <c r="I66" s="18">
        <v>7.0257000730900003</v>
      </c>
      <c r="J66" s="18">
        <v>324307.58</v>
      </c>
      <c r="K66" s="17" t="s">
        <v>2039</v>
      </c>
      <c r="L66" s="23" t="s">
        <v>2048</v>
      </c>
      <c r="M66" s="24"/>
    </row>
    <row r="67" spans="1:13">
      <c r="A67" s="19">
        <v>66</v>
      </c>
      <c r="B67" s="19"/>
      <c r="C67" s="19"/>
      <c r="D67" s="19"/>
      <c r="E67" s="17" t="s">
        <v>2124</v>
      </c>
      <c r="F67" s="17" t="s">
        <v>2125</v>
      </c>
      <c r="G67" s="17" t="s">
        <v>394</v>
      </c>
      <c r="H67" s="18">
        <v>5502</v>
      </c>
      <c r="I67" s="18">
        <v>7.04169938204</v>
      </c>
      <c r="J67" s="18">
        <v>38743.43</v>
      </c>
      <c r="K67" s="17" t="s">
        <v>2126</v>
      </c>
      <c r="L67" s="23" t="s">
        <v>2127</v>
      </c>
      <c r="M67" s="24"/>
    </row>
    <row r="68" spans="1:13">
      <c r="A68" s="19">
        <v>67</v>
      </c>
      <c r="B68" s="19"/>
      <c r="C68" s="19"/>
      <c r="D68" s="19"/>
      <c r="E68" s="17" t="s">
        <v>2124</v>
      </c>
      <c r="F68" s="17" t="s">
        <v>2051</v>
      </c>
      <c r="G68" s="17" t="s">
        <v>690</v>
      </c>
      <c r="H68" s="18">
        <v>76198.53</v>
      </c>
      <c r="I68" s="18">
        <v>7.0415000131800003</v>
      </c>
      <c r="J68" s="18">
        <v>536551.94999999995</v>
      </c>
      <c r="K68" s="17" t="s">
        <v>2039</v>
      </c>
      <c r="L68" s="23" t="s">
        <v>2128</v>
      </c>
      <c r="M68" s="24"/>
    </row>
    <row r="69" spans="1:13">
      <c r="A69" s="19">
        <v>68</v>
      </c>
      <c r="B69" s="19"/>
      <c r="C69" s="19"/>
      <c r="D69" s="19"/>
      <c r="E69" s="17" t="s">
        <v>2124</v>
      </c>
      <c r="F69" s="17" t="s">
        <v>2061</v>
      </c>
      <c r="G69" s="17" t="s">
        <v>453</v>
      </c>
      <c r="H69" s="18">
        <v>123428.25</v>
      </c>
      <c r="I69" s="18">
        <v>7.0463000164</v>
      </c>
      <c r="J69" s="18">
        <v>869712.48</v>
      </c>
      <c r="K69" s="17" t="s">
        <v>2039</v>
      </c>
      <c r="L69" s="23" t="s">
        <v>2129</v>
      </c>
      <c r="M69" s="24"/>
    </row>
    <row r="70" spans="1:13">
      <c r="A70" s="19">
        <v>69</v>
      </c>
      <c r="B70" s="19"/>
      <c r="C70" s="19"/>
      <c r="D70" s="19"/>
      <c r="E70" s="17" t="s">
        <v>2130</v>
      </c>
      <c r="F70" s="17" t="s">
        <v>2045</v>
      </c>
      <c r="G70" s="17" t="s">
        <v>394</v>
      </c>
      <c r="H70" s="18">
        <v>19715.16</v>
      </c>
      <c r="I70" s="18">
        <v>7.0362999843775</v>
      </c>
      <c r="J70" s="18">
        <v>138721.78</v>
      </c>
      <c r="K70" s="17" t="s">
        <v>2039</v>
      </c>
      <c r="L70" s="23" t="s">
        <v>2131</v>
      </c>
      <c r="M70" s="24"/>
    </row>
    <row r="71" spans="1:13">
      <c r="A71" s="19">
        <v>70</v>
      </c>
      <c r="B71" s="19"/>
      <c r="C71" s="19"/>
      <c r="D71" s="19"/>
      <c r="E71" s="17" t="s">
        <v>2132</v>
      </c>
      <c r="F71" s="17" t="s">
        <v>2056</v>
      </c>
      <c r="G71" s="17" t="s">
        <v>394</v>
      </c>
      <c r="H71" s="18">
        <v>19232.189999999999</v>
      </c>
      <c r="I71" s="18">
        <v>7.0245000699300002</v>
      </c>
      <c r="J71" s="18">
        <v>135096.51999999999</v>
      </c>
      <c r="K71" s="17" t="s">
        <v>2039</v>
      </c>
      <c r="L71" s="23" t="s">
        <v>2087</v>
      </c>
      <c r="M71" s="24"/>
    </row>
    <row r="72" spans="1:13">
      <c r="A72" s="19">
        <v>71</v>
      </c>
      <c r="B72" s="20"/>
      <c r="C72" s="19"/>
      <c r="D72" s="19"/>
      <c r="E72" s="17" t="s">
        <v>2132</v>
      </c>
      <c r="F72" s="17" t="s">
        <v>2133</v>
      </c>
      <c r="G72" s="17" t="s">
        <v>575</v>
      </c>
      <c r="H72" s="18">
        <v>19449.38</v>
      </c>
      <c r="I72" s="18">
        <v>7.0360998653899998</v>
      </c>
      <c r="J72" s="18">
        <v>136847.78</v>
      </c>
      <c r="K72" s="17" t="s">
        <v>2134</v>
      </c>
      <c r="L72" s="23" t="s">
        <v>2135</v>
      </c>
      <c r="M72" s="24"/>
    </row>
    <row r="73" spans="1:13">
      <c r="A73" s="19">
        <v>72</v>
      </c>
      <c r="B73" s="19"/>
      <c r="C73" s="19"/>
      <c r="D73" s="19"/>
      <c r="E73" s="17" t="s">
        <v>2136</v>
      </c>
      <c r="F73" s="17" t="s">
        <v>2047</v>
      </c>
      <c r="G73" s="17" t="s">
        <v>394</v>
      </c>
      <c r="H73" s="18">
        <v>98928.68</v>
      </c>
      <c r="I73" s="18">
        <v>7.0543999980500001</v>
      </c>
      <c r="J73" s="18">
        <v>697882.48</v>
      </c>
      <c r="K73" s="17" t="s">
        <v>2039</v>
      </c>
      <c r="L73" s="23" t="s">
        <v>2123</v>
      </c>
      <c r="M73" s="24"/>
    </row>
    <row r="74" spans="1:13">
      <c r="A74" s="19">
        <v>73</v>
      </c>
      <c r="B74" s="19"/>
      <c r="C74" s="19"/>
      <c r="D74" s="19"/>
      <c r="E74" s="17" t="s">
        <v>2136</v>
      </c>
      <c r="F74" s="17" t="s">
        <v>2056</v>
      </c>
      <c r="G74" s="17" t="s">
        <v>394</v>
      </c>
      <c r="H74" s="18">
        <v>37310.78</v>
      </c>
      <c r="I74" s="18">
        <v>7.0543001245200001</v>
      </c>
      <c r="J74" s="18">
        <v>263201.44</v>
      </c>
      <c r="K74" s="17" t="s">
        <v>2039</v>
      </c>
      <c r="L74" s="23" t="s">
        <v>2087</v>
      </c>
      <c r="M74" s="24"/>
    </row>
    <row r="75" spans="1:13">
      <c r="A75" s="19">
        <v>74</v>
      </c>
      <c r="B75" s="19"/>
      <c r="C75" s="19"/>
      <c r="D75" s="19"/>
      <c r="E75" s="17" t="s">
        <v>2136</v>
      </c>
      <c r="F75" s="17" t="s">
        <v>2078</v>
      </c>
      <c r="G75" s="17" t="s">
        <v>394</v>
      </c>
      <c r="H75" s="18">
        <v>16925.7</v>
      </c>
      <c r="I75" s="18">
        <v>7.0587999314600003</v>
      </c>
      <c r="J75" s="18">
        <v>119475.13</v>
      </c>
      <c r="K75" s="17" t="s">
        <v>2039</v>
      </c>
      <c r="L75" s="23" t="s">
        <v>2137</v>
      </c>
      <c r="M75" s="24"/>
    </row>
    <row r="76" spans="1:13">
      <c r="A76" s="19">
        <v>75</v>
      </c>
      <c r="B76" s="19"/>
      <c r="C76" s="19"/>
      <c r="D76" s="19"/>
      <c r="E76" s="17" t="s">
        <v>2136</v>
      </c>
      <c r="F76" s="17" t="s">
        <v>2078</v>
      </c>
      <c r="G76" s="17" t="s">
        <v>394</v>
      </c>
      <c r="H76" s="18">
        <v>16626.79</v>
      </c>
      <c r="I76" s="18">
        <v>7.0588002855600003</v>
      </c>
      <c r="J76" s="18">
        <v>117365.19</v>
      </c>
      <c r="K76" s="17" t="s">
        <v>2039</v>
      </c>
      <c r="L76" s="23" t="s">
        <v>2137</v>
      </c>
      <c r="M76" s="24"/>
    </row>
    <row r="77" spans="1:13">
      <c r="A77" s="19">
        <v>76</v>
      </c>
      <c r="B77" s="19"/>
      <c r="C77" s="19"/>
      <c r="D77" s="19"/>
      <c r="E77" s="17" t="s">
        <v>2136</v>
      </c>
      <c r="F77" s="17" t="s">
        <v>2038</v>
      </c>
      <c r="G77" s="17" t="s">
        <v>394</v>
      </c>
      <c r="H77" s="18">
        <v>21983.85</v>
      </c>
      <c r="I77" s="18">
        <v>7.0587999827100001</v>
      </c>
      <c r="J77" s="18">
        <v>155179.6</v>
      </c>
      <c r="K77" s="17" t="s">
        <v>2039</v>
      </c>
      <c r="L77" s="23" t="s">
        <v>2118</v>
      </c>
      <c r="M77" s="24"/>
    </row>
    <row r="78" spans="1:13">
      <c r="A78" s="19">
        <v>77</v>
      </c>
      <c r="B78" s="19"/>
      <c r="C78" s="19"/>
      <c r="D78" s="19"/>
      <c r="E78" s="17" t="s">
        <v>919</v>
      </c>
      <c r="F78" s="17" t="s">
        <v>2056</v>
      </c>
      <c r="G78" s="17" t="s">
        <v>394</v>
      </c>
      <c r="H78" s="18">
        <v>18487.03</v>
      </c>
      <c r="I78" s="18">
        <v>7.0351998130500002</v>
      </c>
      <c r="J78" s="18">
        <v>130059.95</v>
      </c>
      <c r="K78" s="17" t="s">
        <v>2039</v>
      </c>
      <c r="L78" s="23" t="s">
        <v>2087</v>
      </c>
      <c r="M78" s="24"/>
    </row>
    <row r="79" spans="1:13">
      <c r="A79" s="19">
        <v>78</v>
      </c>
      <c r="B79" s="19"/>
      <c r="C79" s="19"/>
      <c r="D79" s="19"/>
      <c r="E79" s="17" t="s">
        <v>919</v>
      </c>
      <c r="F79" s="17" t="s">
        <v>2112</v>
      </c>
      <c r="G79" s="17" t="s">
        <v>394</v>
      </c>
      <c r="H79" s="18">
        <v>13903.08</v>
      </c>
      <c r="I79" s="18">
        <v>7.0352001139300002</v>
      </c>
      <c r="J79" s="18">
        <v>97810.95</v>
      </c>
      <c r="K79" s="17" t="s">
        <v>2039</v>
      </c>
      <c r="L79" s="23" t="s">
        <v>2113</v>
      </c>
      <c r="M79" s="24"/>
    </row>
    <row r="80" spans="1:13">
      <c r="A80" s="19">
        <v>79</v>
      </c>
      <c r="B80" s="19"/>
      <c r="C80" s="19"/>
      <c r="D80" s="19"/>
      <c r="E80" s="17" t="s">
        <v>919</v>
      </c>
      <c r="F80" s="17" t="s">
        <v>2047</v>
      </c>
      <c r="G80" s="17" t="s">
        <v>394</v>
      </c>
      <c r="H80" s="18">
        <v>102407.01</v>
      </c>
      <c r="I80" s="18">
        <v>7.0352000317099996</v>
      </c>
      <c r="J80" s="18">
        <v>720453.8</v>
      </c>
      <c r="K80" s="17" t="s">
        <v>2039</v>
      </c>
      <c r="L80" s="23" t="s">
        <v>2123</v>
      </c>
      <c r="M80" s="24"/>
    </row>
    <row r="81" spans="1:13">
      <c r="A81" s="19">
        <v>80</v>
      </c>
      <c r="B81" s="19"/>
      <c r="C81" s="19"/>
      <c r="D81" s="19"/>
      <c r="E81" s="17" t="s">
        <v>919</v>
      </c>
      <c r="F81" s="17" t="s">
        <v>2133</v>
      </c>
      <c r="G81" s="17" t="s">
        <v>575</v>
      </c>
      <c r="H81" s="18">
        <v>8142</v>
      </c>
      <c r="I81" s="18">
        <v>7.0323004175800001</v>
      </c>
      <c r="J81" s="18">
        <v>57256.99</v>
      </c>
      <c r="K81" s="17" t="s">
        <v>2134</v>
      </c>
      <c r="L81" s="23" t="s">
        <v>2138</v>
      </c>
      <c r="M81" s="24"/>
    </row>
    <row r="82" spans="1:13">
      <c r="A82" s="19">
        <v>81</v>
      </c>
      <c r="B82" s="19"/>
      <c r="C82" s="19"/>
      <c r="D82" s="19"/>
      <c r="E82" s="17" t="s">
        <v>2139</v>
      </c>
      <c r="F82" s="17" t="s">
        <v>2101</v>
      </c>
      <c r="G82" s="17" t="s">
        <v>394</v>
      </c>
      <c r="H82" s="18">
        <v>7285</v>
      </c>
      <c r="I82" s="18">
        <v>7.0603006177000003</v>
      </c>
      <c r="J82" s="18">
        <v>51434.29</v>
      </c>
      <c r="K82" s="17" t="s">
        <v>2039</v>
      </c>
      <c r="L82" s="23" t="s">
        <v>2140</v>
      </c>
      <c r="M82" s="24"/>
    </row>
    <row r="83" spans="1:13">
      <c r="A83" s="19">
        <v>82</v>
      </c>
      <c r="B83" s="19"/>
      <c r="C83" s="19"/>
      <c r="D83" s="19"/>
      <c r="E83" s="17" t="s">
        <v>2139</v>
      </c>
      <c r="F83" s="17" t="s">
        <v>2045</v>
      </c>
      <c r="G83" s="17" t="s">
        <v>394</v>
      </c>
      <c r="H83" s="18">
        <v>15126.67</v>
      </c>
      <c r="I83" s="18">
        <v>7.0603001189199999</v>
      </c>
      <c r="J83" s="18">
        <v>106798.83</v>
      </c>
      <c r="K83" s="17" t="s">
        <v>2141</v>
      </c>
      <c r="L83" s="23" t="s">
        <v>2142</v>
      </c>
      <c r="M83" s="24"/>
    </row>
    <row r="84" spans="1:13">
      <c r="A84" s="19">
        <v>83</v>
      </c>
      <c r="B84" s="19"/>
      <c r="C84" s="19"/>
      <c r="D84" s="19"/>
      <c r="E84" s="17" t="s">
        <v>2139</v>
      </c>
      <c r="F84" s="17" t="s">
        <v>2061</v>
      </c>
      <c r="G84" s="17" t="s">
        <v>453</v>
      </c>
      <c r="H84" s="18">
        <v>223497.8</v>
      </c>
      <c r="I84" s="18">
        <v>7.0601000099300002</v>
      </c>
      <c r="J84" s="18">
        <v>1577916.82</v>
      </c>
      <c r="K84" s="17" t="s">
        <v>2039</v>
      </c>
      <c r="L84" s="23" t="s">
        <v>2143</v>
      </c>
      <c r="M84" s="24"/>
    </row>
    <row r="85" spans="1:13">
      <c r="A85" s="19">
        <v>84</v>
      </c>
      <c r="B85" s="19"/>
      <c r="C85" s="19"/>
      <c r="D85" s="19"/>
      <c r="E85" s="17" t="s">
        <v>2144</v>
      </c>
      <c r="F85" s="17" t="s">
        <v>2041</v>
      </c>
      <c r="G85" s="17" t="s">
        <v>453</v>
      </c>
      <c r="H85" s="18">
        <v>37505.79</v>
      </c>
      <c r="I85" s="18">
        <v>7.0797002276100001</v>
      </c>
      <c r="J85" s="18">
        <v>265529.75</v>
      </c>
      <c r="K85" s="17" t="s">
        <v>2039</v>
      </c>
      <c r="L85" s="23" t="s">
        <v>2145</v>
      </c>
      <c r="M85" s="26"/>
    </row>
    <row r="86" spans="1:13">
      <c r="A86" s="19">
        <v>85</v>
      </c>
      <c r="B86" s="19"/>
      <c r="C86" s="19"/>
      <c r="D86" s="19"/>
      <c r="E86" s="17" t="s">
        <v>2144</v>
      </c>
      <c r="F86" s="17" t="s">
        <v>2047</v>
      </c>
      <c r="G86" s="17" t="s">
        <v>394</v>
      </c>
      <c r="H86" s="18">
        <v>86949.54</v>
      </c>
      <c r="I86" s="18">
        <v>7.0799999631899997</v>
      </c>
      <c r="J86" s="18">
        <v>615602.74</v>
      </c>
      <c r="K86" s="17" t="s">
        <v>2039</v>
      </c>
      <c r="L86" s="23" t="s">
        <v>2123</v>
      </c>
      <c r="M86" s="24"/>
    </row>
    <row r="87" spans="1:13">
      <c r="A87" s="19">
        <v>86</v>
      </c>
      <c r="B87" s="19"/>
      <c r="C87" s="19"/>
      <c r="D87" s="19"/>
      <c r="E87" s="17" t="s">
        <v>2144</v>
      </c>
      <c r="F87" s="17" t="s">
        <v>2074</v>
      </c>
      <c r="G87" s="17" t="s">
        <v>670</v>
      </c>
      <c r="H87" s="18">
        <v>51535.41</v>
      </c>
      <c r="I87" s="18">
        <v>7.07999994566</v>
      </c>
      <c r="J87" s="18">
        <v>364870.7</v>
      </c>
      <c r="K87" s="17" t="s">
        <v>2039</v>
      </c>
      <c r="L87" s="23" t="s">
        <v>2116</v>
      </c>
      <c r="M87" s="24"/>
    </row>
    <row r="88" spans="1:13">
      <c r="A88" s="19">
        <v>87</v>
      </c>
      <c r="B88" s="19"/>
      <c r="C88" s="19"/>
      <c r="D88" s="19"/>
      <c r="E88" s="17" t="s">
        <v>2144</v>
      </c>
      <c r="F88" s="17" t="s">
        <v>2146</v>
      </c>
      <c r="G88" s="17" t="s">
        <v>394</v>
      </c>
      <c r="H88" s="18">
        <v>9736.56</v>
      </c>
      <c r="I88" s="18">
        <v>7.0799995070100001</v>
      </c>
      <c r="J88" s="18">
        <v>68934.84</v>
      </c>
      <c r="K88" s="17" t="s">
        <v>2039</v>
      </c>
      <c r="L88" s="23" t="s">
        <v>2147</v>
      </c>
      <c r="M88" s="24"/>
    </row>
    <row r="89" spans="1:13">
      <c r="A89" s="19">
        <v>88</v>
      </c>
      <c r="B89" s="19"/>
      <c r="C89" s="19"/>
      <c r="D89" s="19"/>
      <c r="E89" s="17" t="s">
        <v>2144</v>
      </c>
      <c r="F89" s="17" t="s">
        <v>2097</v>
      </c>
      <c r="G89" s="17" t="s">
        <v>394</v>
      </c>
      <c r="H89" s="18">
        <v>126314.84</v>
      </c>
      <c r="I89" s="18">
        <v>7.0800000221600001</v>
      </c>
      <c r="J89" s="18">
        <v>894309.07</v>
      </c>
      <c r="K89" s="17" t="s">
        <v>2039</v>
      </c>
      <c r="L89" s="23" t="s">
        <v>2148</v>
      </c>
      <c r="M89" s="24"/>
    </row>
    <row r="90" spans="1:13">
      <c r="A90" s="19">
        <v>89</v>
      </c>
      <c r="B90" s="19"/>
      <c r="C90" s="19"/>
      <c r="D90" s="19"/>
      <c r="E90" s="17" t="s">
        <v>2144</v>
      </c>
      <c r="F90" s="17" t="s">
        <v>2078</v>
      </c>
      <c r="G90" s="17" t="s">
        <v>394</v>
      </c>
      <c r="H90" s="18">
        <v>18030.900000000001</v>
      </c>
      <c r="I90" s="18">
        <v>7.0799998890699998</v>
      </c>
      <c r="J90" s="18">
        <v>127658.77</v>
      </c>
      <c r="K90" s="17" t="s">
        <v>2039</v>
      </c>
      <c r="L90" s="23" t="s">
        <v>2149</v>
      </c>
      <c r="M90" s="24"/>
    </row>
    <row r="91" spans="1:13">
      <c r="A91" s="19">
        <v>90</v>
      </c>
      <c r="B91" s="19"/>
      <c r="C91" s="19"/>
      <c r="D91" s="19"/>
      <c r="E91" s="17" t="s">
        <v>2144</v>
      </c>
      <c r="F91" s="17" t="s">
        <v>2074</v>
      </c>
      <c r="G91" s="17" t="s">
        <v>670</v>
      </c>
      <c r="H91" s="18">
        <v>50534.37</v>
      </c>
      <c r="I91" s="18">
        <v>7.0800000079099998</v>
      </c>
      <c r="J91" s="18">
        <v>357783.34</v>
      </c>
      <c r="K91" s="17" t="s">
        <v>2039</v>
      </c>
      <c r="L91" s="23" t="s">
        <v>2116</v>
      </c>
      <c r="M91" s="24"/>
    </row>
    <row r="92" spans="1:13">
      <c r="A92" s="19">
        <v>91</v>
      </c>
      <c r="B92" s="19"/>
      <c r="C92" s="19"/>
      <c r="D92" s="19"/>
      <c r="E92" s="17" t="s">
        <v>2150</v>
      </c>
      <c r="F92" s="17" t="s">
        <v>2125</v>
      </c>
      <c r="G92" s="17" t="s">
        <v>394</v>
      </c>
      <c r="H92" s="18">
        <v>12684.9</v>
      </c>
      <c r="I92" s="18">
        <v>7.1386002254600003</v>
      </c>
      <c r="J92" s="18">
        <v>90552.43</v>
      </c>
      <c r="K92" s="17" t="s">
        <v>2126</v>
      </c>
      <c r="L92" s="23" t="s">
        <v>2127</v>
      </c>
      <c r="M92" s="24"/>
    </row>
    <row r="93" spans="1:13">
      <c r="A93" s="19">
        <v>92</v>
      </c>
      <c r="B93" s="19"/>
      <c r="C93" s="19"/>
      <c r="D93" s="19"/>
      <c r="E93" s="17" t="s">
        <v>2151</v>
      </c>
      <c r="F93" s="17" t="s">
        <v>2097</v>
      </c>
      <c r="G93" s="17" t="s">
        <v>394</v>
      </c>
      <c r="H93" s="18">
        <v>18670.55</v>
      </c>
      <c r="I93" s="18">
        <v>7.1535000307900001</v>
      </c>
      <c r="J93" s="18">
        <v>133559.78</v>
      </c>
      <c r="K93" s="17" t="s">
        <v>2039</v>
      </c>
      <c r="L93" s="23" t="s">
        <v>2147</v>
      </c>
      <c r="M93" s="24"/>
    </row>
    <row r="94" spans="1:13">
      <c r="A94" s="19">
        <v>93</v>
      </c>
      <c r="B94" s="19"/>
      <c r="C94" s="19"/>
      <c r="D94" s="19"/>
      <c r="E94" s="17" t="s">
        <v>2151</v>
      </c>
      <c r="F94" s="17" t="s">
        <v>2069</v>
      </c>
      <c r="G94" s="17" t="s">
        <v>459</v>
      </c>
      <c r="H94" s="18">
        <v>119855.16</v>
      </c>
      <c r="I94" s="18">
        <v>7.1535000245199996</v>
      </c>
      <c r="J94" s="18">
        <v>857383.89</v>
      </c>
      <c r="K94" s="17" t="s">
        <v>2039</v>
      </c>
      <c r="L94" s="23" t="s">
        <v>2152</v>
      </c>
      <c r="M94" s="24"/>
    </row>
    <row r="95" spans="1:13">
      <c r="A95" s="19">
        <v>94</v>
      </c>
      <c r="B95" s="19"/>
      <c r="C95" s="19"/>
      <c r="D95" s="19"/>
      <c r="E95" s="17" t="s">
        <v>2151</v>
      </c>
      <c r="F95" s="17" t="s">
        <v>2074</v>
      </c>
      <c r="G95" s="17" t="s">
        <v>670</v>
      </c>
      <c r="H95" s="18">
        <v>51577.51</v>
      </c>
      <c r="I95" s="18">
        <v>7.1528999752000004</v>
      </c>
      <c r="J95" s="18">
        <v>368928.77</v>
      </c>
      <c r="K95" s="17" t="s">
        <v>2039</v>
      </c>
      <c r="L95" s="23" t="s">
        <v>2116</v>
      </c>
      <c r="M95" s="24"/>
    </row>
    <row r="96" spans="1:13">
      <c r="A96" s="19">
        <v>95</v>
      </c>
      <c r="B96" s="19"/>
      <c r="C96" s="19"/>
      <c r="D96" s="19"/>
      <c r="E96" s="17" t="s">
        <v>2151</v>
      </c>
      <c r="F96" s="17" t="s">
        <v>2097</v>
      </c>
      <c r="G96" s="17" t="s">
        <v>394</v>
      </c>
      <c r="H96" s="18">
        <v>16115.92</v>
      </c>
      <c r="I96" s="18">
        <v>7.1528997413699997</v>
      </c>
      <c r="J96" s="18">
        <v>115275.56</v>
      </c>
      <c r="K96" s="17" t="s">
        <v>2039</v>
      </c>
      <c r="L96" s="23" t="s">
        <v>2153</v>
      </c>
      <c r="M96" s="24"/>
    </row>
    <row r="97" spans="1:13">
      <c r="A97" s="19">
        <v>96</v>
      </c>
      <c r="B97" s="19"/>
      <c r="C97" s="19"/>
      <c r="D97" s="19"/>
      <c r="E97" s="17" t="s">
        <v>2151</v>
      </c>
      <c r="F97" s="17" t="s">
        <v>2074</v>
      </c>
      <c r="G97" s="17" t="s">
        <v>670</v>
      </c>
      <c r="H97" s="18">
        <v>47818.37</v>
      </c>
      <c r="I97" s="18">
        <v>7.1529000256500002</v>
      </c>
      <c r="J97" s="18">
        <v>342040.02</v>
      </c>
      <c r="K97" s="17" t="s">
        <v>2039</v>
      </c>
      <c r="L97" s="23" t="s">
        <v>2116</v>
      </c>
      <c r="M97" s="24"/>
    </row>
    <row r="98" spans="1:13">
      <c r="A98" s="19">
        <v>97</v>
      </c>
      <c r="B98" s="19"/>
      <c r="C98" s="19"/>
      <c r="D98" s="19"/>
      <c r="E98" s="17" t="s">
        <v>2154</v>
      </c>
      <c r="F98" s="17" t="s">
        <v>2078</v>
      </c>
      <c r="G98" s="17" t="s">
        <v>394</v>
      </c>
      <c r="H98" s="18">
        <v>214609.89</v>
      </c>
      <c r="I98" s="18">
        <v>7.1762999831899998</v>
      </c>
      <c r="J98" s="18">
        <v>1540104.95</v>
      </c>
      <c r="K98" s="17" t="s">
        <v>2039</v>
      </c>
      <c r="L98" s="23" t="s">
        <v>2155</v>
      </c>
      <c r="M98" s="24"/>
    </row>
    <row r="99" spans="1:13">
      <c r="A99" s="19">
        <v>98</v>
      </c>
      <c r="B99" s="19"/>
      <c r="C99" s="19"/>
      <c r="D99" s="19"/>
      <c r="E99" s="17" t="s">
        <v>2154</v>
      </c>
      <c r="F99" s="17" t="s">
        <v>2047</v>
      </c>
      <c r="G99" s="17" t="s">
        <v>394</v>
      </c>
      <c r="H99" s="18">
        <v>31444.6</v>
      </c>
      <c r="I99" s="18">
        <v>7.1762999052299996</v>
      </c>
      <c r="J99" s="18">
        <v>225655.88</v>
      </c>
      <c r="K99" s="17" t="s">
        <v>2039</v>
      </c>
      <c r="L99" s="23" t="s">
        <v>2156</v>
      </c>
      <c r="M99" s="24"/>
    </row>
    <row r="100" spans="1:13">
      <c r="A100" s="19">
        <v>99</v>
      </c>
      <c r="B100" s="19"/>
      <c r="C100" s="19"/>
      <c r="D100" s="19"/>
      <c r="E100" s="17" t="s">
        <v>2154</v>
      </c>
      <c r="F100" s="17" t="s">
        <v>2043</v>
      </c>
      <c r="G100" s="17" t="s">
        <v>394</v>
      </c>
      <c r="H100" s="18">
        <v>2482</v>
      </c>
      <c r="I100" s="18">
        <v>7.17630136986</v>
      </c>
      <c r="J100" s="18">
        <v>17811.580000000002</v>
      </c>
      <c r="K100" s="17" t="s">
        <v>2039</v>
      </c>
      <c r="L100" s="23" t="s">
        <v>2157</v>
      </c>
      <c r="M100" s="24"/>
    </row>
    <row r="101" spans="1:13">
      <c r="A101" s="19">
        <v>100</v>
      </c>
      <c r="B101" s="19"/>
      <c r="C101" s="19"/>
      <c r="D101" s="19"/>
      <c r="E101" s="17" t="s">
        <v>2154</v>
      </c>
      <c r="F101" s="17" t="s">
        <v>2056</v>
      </c>
      <c r="G101" s="17" t="s">
        <v>394</v>
      </c>
      <c r="H101" s="18">
        <v>18014.89</v>
      </c>
      <c r="I101" s="18">
        <v>7.1763002715999997</v>
      </c>
      <c r="J101" s="18">
        <v>129280.26</v>
      </c>
      <c r="K101" s="17" t="s">
        <v>2039</v>
      </c>
      <c r="L101" s="23" t="s">
        <v>2158</v>
      </c>
      <c r="M101" s="24"/>
    </row>
    <row r="102" spans="1:13">
      <c r="A102" s="19">
        <v>101</v>
      </c>
      <c r="B102" s="19"/>
      <c r="C102" s="19"/>
      <c r="D102" s="19"/>
      <c r="E102" s="17" t="s">
        <v>2154</v>
      </c>
      <c r="F102" s="17" t="s">
        <v>2041</v>
      </c>
      <c r="G102" s="17" t="s">
        <v>453</v>
      </c>
      <c r="H102" s="18">
        <v>20814.12</v>
      </c>
      <c r="I102" s="18">
        <v>7.1763000309400002</v>
      </c>
      <c r="J102" s="18">
        <v>149368.37</v>
      </c>
      <c r="K102" s="17" t="s">
        <v>2039</v>
      </c>
      <c r="L102" s="23" t="s">
        <v>2159</v>
      </c>
      <c r="M102" s="24"/>
    </row>
    <row r="103" spans="1:13">
      <c r="A103" s="19">
        <v>102</v>
      </c>
      <c r="B103" s="19"/>
      <c r="C103" s="19"/>
      <c r="D103" s="19"/>
      <c r="E103" s="17" t="s">
        <v>2154</v>
      </c>
      <c r="F103" s="17" t="s">
        <v>2061</v>
      </c>
      <c r="G103" s="17" t="s">
        <v>453</v>
      </c>
      <c r="H103" s="18">
        <v>82636.88</v>
      </c>
      <c r="I103" s="18">
        <v>7.1767000399800001</v>
      </c>
      <c r="J103" s="18">
        <v>593060.1</v>
      </c>
      <c r="K103" s="17" t="s">
        <v>2039</v>
      </c>
      <c r="L103" s="23" t="s">
        <v>2160</v>
      </c>
      <c r="M103" s="24"/>
    </row>
    <row r="104" spans="1:13">
      <c r="A104" s="19">
        <v>103</v>
      </c>
      <c r="B104" s="19"/>
      <c r="C104" s="19"/>
      <c r="D104" s="19"/>
      <c r="E104" s="17" t="s">
        <v>2154</v>
      </c>
      <c r="F104" s="17" t="s">
        <v>2045</v>
      </c>
      <c r="G104" s="17" t="s">
        <v>394</v>
      </c>
      <c r="H104" s="18">
        <v>10000</v>
      </c>
      <c r="I104" s="18">
        <v>7.1763000000000003</v>
      </c>
      <c r="J104" s="18">
        <v>71763</v>
      </c>
      <c r="K104" s="17" t="s">
        <v>2039</v>
      </c>
      <c r="L104" s="23" t="s">
        <v>2161</v>
      </c>
      <c r="M104" s="24"/>
    </row>
    <row r="105" spans="1:13">
      <c r="A105" s="19">
        <v>104</v>
      </c>
      <c r="B105" s="19"/>
      <c r="C105" s="19"/>
      <c r="D105" s="19"/>
      <c r="E105" s="17" t="s">
        <v>2154</v>
      </c>
      <c r="F105" s="17" t="s">
        <v>2078</v>
      </c>
      <c r="G105" s="17" t="s">
        <v>394</v>
      </c>
      <c r="H105" s="18">
        <v>62585.56</v>
      </c>
      <c r="I105" s="18">
        <v>7.1762999324400001</v>
      </c>
      <c r="J105" s="18">
        <v>449132.75</v>
      </c>
      <c r="K105" s="17" t="s">
        <v>2039</v>
      </c>
      <c r="L105" s="23" t="s">
        <v>2162</v>
      </c>
      <c r="M105" s="24"/>
    </row>
    <row r="106" spans="1:13">
      <c r="A106" s="19">
        <v>105</v>
      </c>
      <c r="B106" s="19"/>
      <c r="C106" s="19"/>
      <c r="D106" s="19"/>
      <c r="E106" s="17" t="s">
        <v>2154</v>
      </c>
      <c r="F106" s="17" t="s">
        <v>2051</v>
      </c>
      <c r="G106" s="17" t="s">
        <v>690</v>
      </c>
      <c r="H106" s="18">
        <v>95405.86</v>
      </c>
      <c r="I106" s="18">
        <v>7.1767000475599998</v>
      </c>
      <c r="J106" s="18">
        <v>684699.24</v>
      </c>
      <c r="K106" s="17" t="s">
        <v>2039</v>
      </c>
      <c r="L106" s="23" t="s">
        <v>2163</v>
      </c>
      <c r="M106" s="24"/>
    </row>
    <row r="107" spans="1:13">
      <c r="A107" s="19">
        <v>106</v>
      </c>
      <c r="B107" s="19"/>
      <c r="C107" s="19"/>
      <c r="D107" s="19"/>
      <c r="E107" s="17" t="s">
        <v>2154</v>
      </c>
      <c r="F107" s="17" t="s">
        <v>2069</v>
      </c>
      <c r="G107" s="17" t="s">
        <v>459</v>
      </c>
      <c r="H107" s="18">
        <v>85948.95</v>
      </c>
      <c r="I107" s="18">
        <v>7.1767000062199999</v>
      </c>
      <c r="J107" s="18">
        <v>616829.82999999996</v>
      </c>
      <c r="K107" s="17" t="s">
        <v>2039</v>
      </c>
      <c r="L107" s="23" t="s">
        <v>2152</v>
      </c>
      <c r="M107" s="24"/>
    </row>
    <row r="108" spans="1:13">
      <c r="A108" s="19">
        <v>107</v>
      </c>
      <c r="B108" s="19"/>
      <c r="C108" s="19"/>
      <c r="D108" s="19"/>
      <c r="E108" s="17" t="s">
        <v>2164</v>
      </c>
      <c r="F108" s="17" t="s">
        <v>2165</v>
      </c>
      <c r="G108" s="17" t="s">
        <v>394</v>
      </c>
      <c r="H108" s="18">
        <v>17342.240000000002</v>
      </c>
      <c r="I108" s="18">
        <v>7.1302997767300003</v>
      </c>
      <c r="J108" s="18">
        <v>123655.37</v>
      </c>
      <c r="K108" s="17" t="s">
        <v>2039</v>
      </c>
      <c r="L108" s="23" t="s">
        <v>2166</v>
      </c>
      <c r="M108" s="24"/>
    </row>
    <row r="109" spans="1:13">
      <c r="A109" s="19">
        <v>108</v>
      </c>
      <c r="B109" s="19"/>
      <c r="C109" s="19"/>
      <c r="D109" s="19"/>
      <c r="E109" s="17" t="s">
        <v>2164</v>
      </c>
      <c r="F109" s="17" t="s">
        <v>2167</v>
      </c>
      <c r="G109" s="17" t="s">
        <v>394</v>
      </c>
      <c r="H109" s="18">
        <v>23101.43</v>
      </c>
      <c r="I109" s="18">
        <v>7.1303001588999999</v>
      </c>
      <c r="J109" s="18">
        <v>164720.13</v>
      </c>
      <c r="K109" s="17" t="s">
        <v>2039</v>
      </c>
      <c r="L109" s="23" t="s">
        <v>2168</v>
      </c>
      <c r="M109" s="24"/>
    </row>
    <row r="110" spans="1:13">
      <c r="A110" s="19">
        <v>109</v>
      </c>
      <c r="B110" s="19"/>
      <c r="C110" s="19"/>
      <c r="D110" s="19"/>
      <c r="E110" s="17" t="s">
        <v>2164</v>
      </c>
      <c r="F110" s="17" t="s">
        <v>2065</v>
      </c>
      <c r="G110" s="17" t="s">
        <v>394</v>
      </c>
      <c r="H110" s="18">
        <v>30424.67</v>
      </c>
      <c r="I110" s="18">
        <v>7.1302998520600003</v>
      </c>
      <c r="J110" s="18">
        <v>216937.02</v>
      </c>
      <c r="K110" s="17" t="s">
        <v>2039</v>
      </c>
      <c r="L110" s="23" t="s">
        <v>2169</v>
      </c>
      <c r="M110" s="24"/>
    </row>
    <row r="111" spans="1:13">
      <c r="A111" s="19">
        <v>110</v>
      </c>
      <c r="B111" s="19"/>
      <c r="C111" s="19"/>
      <c r="D111" s="19"/>
      <c r="E111" s="17" t="s">
        <v>2164</v>
      </c>
      <c r="F111" s="17" t="s">
        <v>2097</v>
      </c>
      <c r="G111" s="17" t="s">
        <v>394</v>
      </c>
      <c r="H111" s="18">
        <v>55507.3</v>
      </c>
      <c r="I111" s="18">
        <v>7.1302999785600001</v>
      </c>
      <c r="J111" s="18">
        <v>395783.7</v>
      </c>
      <c r="K111" s="17" t="s">
        <v>2039</v>
      </c>
      <c r="L111" s="23" t="s">
        <v>2148</v>
      </c>
      <c r="M111" s="24"/>
    </row>
    <row r="112" spans="1:13">
      <c r="A112" s="19">
        <v>111</v>
      </c>
      <c r="B112" s="19"/>
      <c r="C112" s="19"/>
      <c r="D112" s="19"/>
      <c r="E112" s="17" t="s">
        <v>2164</v>
      </c>
      <c r="F112" s="17" t="s">
        <v>2101</v>
      </c>
      <c r="G112" s="17" t="s">
        <v>394</v>
      </c>
      <c r="H112" s="18">
        <v>16958</v>
      </c>
      <c r="I112" s="18">
        <v>7.1303001533100003</v>
      </c>
      <c r="J112" s="18">
        <v>120915.63</v>
      </c>
      <c r="K112" s="17" t="s">
        <v>2039</v>
      </c>
      <c r="L112" s="23" t="s">
        <v>2140</v>
      </c>
      <c r="M112" s="24"/>
    </row>
    <row r="113" spans="1:13">
      <c r="A113" s="19">
        <v>112</v>
      </c>
      <c r="B113" s="19"/>
      <c r="C113" s="19"/>
      <c r="D113" s="19"/>
      <c r="E113" s="17" t="s">
        <v>2170</v>
      </c>
      <c r="F113" s="17" t="s">
        <v>2047</v>
      </c>
      <c r="G113" s="17" t="s">
        <v>394</v>
      </c>
      <c r="H113" s="18">
        <v>112490.2</v>
      </c>
      <c r="I113" s="18">
        <v>7.1222999870199999</v>
      </c>
      <c r="J113" s="18">
        <v>801188.95</v>
      </c>
      <c r="K113" s="17" t="s">
        <v>2039</v>
      </c>
      <c r="L113" s="23" t="s">
        <v>2171</v>
      </c>
      <c r="M113" s="24"/>
    </row>
    <row r="114" spans="1:13">
      <c r="A114" s="19">
        <v>113</v>
      </c>
      <c r="B114" s="19"/>
      <c r="C114" s="19"/>
      <c r="D114" s="19"/>
      <c r="E114" s="17" t="s">
        <v>2170</v>
      </c>
      <c r="F114" s="17" t="s">
        <v>2078</v>
      </c>
      <c r="G114" s="17" t="s">
        <v>394</v>
      </c>
      <c r="H114" s="18">
        <v>16422.490000000002</v>
      </c>
      <c r="I114" s="18">
        <v>7.1222999679000001</v>
      </c>
      <c r="J114" s="18">
        <v>116965.9</v>
      </c>
      <c r="K114" s="17" t="s">
        <v>2039</v>
      </c>
      <c r="L114" s="23" t="s">
        <v>2172</v>
      </c>
      <c r="M114" s="24"/>
    </row>
    <row r="115" spans="1:13">
      <c r="A115" s="19">
        <v>114</v>
      </c>
      <c r="B115" s="19"/>
      <c r="C115" s="19"/>
      <c r="D115" s="19"/>
      <c r="E115" s="17" t="s">
        <v>2170</v>
      </c>
      <c r="F115" s="17" t="s">
        <v>2071</v>
      </c>
      <c r="G115" s="17" t="s">
        <v>453</v>
      </c>
      <c r="H115" s="18">
        <v>9966.2199999999993</v>
      </c>
      <c r="I115" s="18">
        <v>7.1238001970599996</v>
      </c>
      <c r="J115" s="18">
        <v>70997.36</v>
      </c>
      <c r="K115" s="17" t="s">
        <v>2039</v>
      </c>
      <c r="L115" s="23" t="s">
        <v>2173</v>
      </c>
      <c r="M115" s="24"/>
    </row>
    <row r="116" spans="1:13">
      <c r="A116" s="19">
        <v>115</v>
      </c>
      <c r="B116" s="19"/>
      <c r="C116" s="19"/>
      <c r="D116" s="19"/>
      <c r="E116" s="17" t="s">
        <v>2170</v>
      </c>
      <c r="F116" s="17" t="s">
        <v>2056</v>
      </c>
      <c r="G116" s="17" t="s">
        <v>394</v>
      </c>
      <c r="H116" s="18">
        <v>18599.64</v>
      </c>
      <c r="I116" s="18">
        <v>7.12380024559</v>
      </c>
      <c r="J116" s="18">
        <v>132500.12</v>
      </c>
      <c r="K116" s="17" t="s">
        <v>2039</v>
      </c>
      <c r="L116" s="23" t="s">
        <v>2174</v>
      </c>
      <c r="M116" s="24"/>
    </row>
    <row r="117" spans="1:13">
      <c r="A117" s="19">
        <v>116</v>
      </c>
      <c r="B117" s="19"/>
      <c r="C117" s="19"/>
      <c r="D117" s="19"/>
      <c r="E117" s="17" t="s">
        <v>2170</v>
      </c>
      <c r="F117" s="17" t="s">
        <v>2074</v>
      </c>
      <c r="G117" s="17" t="s">
        <v>670</v>
      </c>
      <c r="H117" s="18">
        <v>57204.480000000003</v>
      </c>
      <c r="I117" s="18">
        <v>7.1237999191599997</v>
      </c>
      <c r="J117" s="18">
        <v>407513.27</v>
      </c>
      <c r="K117" s="17" t="s">
        <v>2039</v>
      </c>
      <c r="L117" s="23" t="s">
        <v>2116</v>
      </c>
      <c r="M117" s="24"/>
    </row>
    <row r="118" spans="1:13">
      <c r="A118" s="19">
        <v>117</v>
      </c>
      <c r="B118" s="19"/>
      <c r="C118" s="19"/>
      <c r="D118" s="19"/>
      <c r="E118" s="17" t="s">
        <v>2170</v>
      </c>
      <c r="F118" s="17" t="s">
        <v>2041</v>
      </c>
      <c r="G118" s="17" t="s">
        <v>453</v>
      </c>
      <c r="H118" s="18">
        <v>17646.560000000001</v>
      </c>
      <c r="I118" s="18">
        <v>7.1237997660700003</v>
      </c>
      <c r="J118" s="18">
        <v>125710.56</v>
      </c>
      <c r="K118" s="17" t="s">
        <v>2039</v>
      </c>
      <c r="L118" s="23" t="s">
        <v>2175</v>
      </c>
      <c r="M118" s="24"/>
    </row>
    <row r="119" spans="1:13">
      <c r="A119" s="19">
        <v>118</v>
      </c>
      <c r="B119" s="19"/>
      <c r="C119" s="19"/>
      <c r="D119" s="19"/>
      <c r="E119" s="17" t="s">
        <v>2170</v>
      </c>
      <c r="F119" s="17" t="s">
        <v>2069</v>
      </c>
      <c r="G119" s="17" t="s">
        <v>459</v>
      </c>
      <c r="H119" s="18">
        <v>99951.85</v>
      </c>
      <c r="I119" s="18">
        <v>7.1238000097</v>
      </c>
      <c r="J119" s="18">
        <v>712036.99</v>
      </c>
      <c r="K119" s="17" t="s">
        <v>2039</v>
      </c>
      <c r="L119" s="23" t="s">
        <v>2176</v>
      </c>
      <c r="M119" s="24"/>
    </row>
    <row r="120" spans="1:13">
      <c r="A120" s="19">
        <v>119</v>
      </c>
      <c r="B120" s="19"/>
      <c r="C120" s="19"/>
      <c r="D120" s="19"/>
      <c r="E120" s="17" t="s">
        <v>2170</v>
      </c>
      <c r="F120" s="17" t="s">
        <v>2089</v>
      </c>
      <c r="G120" s="17" t="s">
        <v>394</v>
      </c>
      <c r="H120" s="18">
        <v>6891</v>
      </c>
      <c r="I120" s="18">
        <v>7.1238006094899999</v>
      </c>
      <c r="J120" s="18">
        <v>49090.11</v>
      </c>
      <c r="K120" s="17" t="s">
        <v>2039</v>
      </c>
      <c r="L120" s="23" t="s">
        <v>2177</v>
      </c>
      <c r="M120" s="24"/>
    </row>
    <row r="121" spans="1:13">
      <c r="A121" s="19">
        <v>120</v>
      </c>
      <c r="B121" s="19"/>
      <c r="C121" s="19"/>
      <c r="D121" s="19"/>
      <c r="E121" s="17" t="s">
        <v>2170</v>
      </c>
      <c r="F121" s="17" t="s">
        <v>2067</v>
      </c>
      <c r="G121" s="17" t="s">
        <v>575</v>
      </c>
      <c r="H121" s="18">
        <v>6688</v>
      </c>
      <c r="I121" s="18">
        <v>7.1222996411399997</v>
      </c>
      <c r="J121" s="18">
        <v>47633.94</v>
      </c>
      <c r="K121" s="17" t="s">
        <v>2039</v>
      </c>
      <c r="L121" s="23" t="s">
        <v>2178</v>
      </c>
      <c r="M121" s="24"/>
    </row>
    <row r="122" spans="1:13">
      <c r="A122" s="19">
        <v>121</v>
      </c>
      <c r="B122" s="19"/>
      <c r="C122" s="19"/>
      <c r="D122" s="19"/>
      <c r="E122" s="17" t="s">
        <v>2170</v>
      </c>
      <c r="F122" s="17" t="s">
        <v>2067</v>
      </c>
      <c r="G122" s="17" t="s">
        <v>575</v>
      </c>
      <c r="H122" s="18">
        <v>15498.6</v>
      </c>
      <c r="I122" s="18">
        <v>7.1223000787100004</v>
      </c>
      <c r="J122" s="18">
        <v>110385.68</v>
      </c>
      <c r="K122" s="17" t="s">
        <v>2039</v>
      </c>
      <c r="L122" s="23" t="s">
        <v>2179</v>
      </c>
      <c r="M122" s="24"/>
    </row>
    <row r="123" spans="1:13">
      <c r="A123" s="19">
        <v>122</v>
      </c>
      <c r="B123" s="19"/>
      <c r="C123" s="19"/>
      <c r="D123" s="19"/>
      <c r="E123" s="17" t="s">
        <v>2180</v>
      </c>
      <c r="F123" s="17" t="s">
        <v>2065</v>
      </c>
      <c r="G123" s="17" t="s">
        <v>394</v>
      </c>
      <c r="H123" s="18">
        <v>40479.26</v>
      </c>
      <c r="I123" s="18">
        <v>7.1115000620000002</v>
      </c>
      <c r="J123" s="18">
        <v>287868.26</v>
      </c>
      <c r="K123" s="17" t="s">
        <v>2039</v>
      </c>
      <c r="L123" s="23" t="s">
        <v>2181</v>
      </c>
      <c r="M123" s="24"/>
    </row>
    <row r="124" spans="1:13">
      <c r="A124" s="19">
        <v>123</v>
      </c>
      <c r="B124" s="19"/>
      <c r="C124" s="19"/>
      <c r="D124" s="19"/>
      <c r="E124" s="17" t="s">
        <v>2180</v>
      </c>
      <c r="F124" s="17" t="s">
        <v>2078</v>
      </c>
      <c r="G124" s="17" t="s">
        <v>394</v>
      </c>
      <c r="H124" s="18">
        <v>95543.55</v>
      </c>
      <c r="I124" s="18">
        <v>7.1122999930299997</v>
      </c>
      <c r="J124" s="18">
        <v>679534.39</v>
      </c>
      <c r="K124" s="17" t="s">
        <v>2039</v>
      </c>
      <c r="L124" s="23" t="s">
        <v>2182</v>
      </c>
      <c r="M124" s="24"/>
    </row>
    <row r="125" spans="1:13">
      <c r="A125" s="19">
        <v>124</v>
      </c>
      <c r="B125" s="19"/>
      <c r="C125" s="19"/>
      <c r="D125" s="19"/>
      <c r="E125" s="17" t="s">
        <v>2180</v>
      </c>
      <c r="F125" s="17" t="s">
        <v>2078</v>
      </c>
      <c r="G125" s="17" t="s">
        <v>394</v>
      </c>
      <c r="H125" s="18">
        <v>40039.89</v>
      </c>
      <c r="I125" s="18">
        <v>7.1123000088100001</v>
      </c>
      <c r="J125" s="18">
        <v>284775.71000000002</v>
      </c>
      <c r="K125" s="17" t="s">
        <v>2039</v>
      </c>
      <c r="L125" s="23" t="s">
        <v>2183</v>
      </c>
      <c r="M125" s="24"/>
    </row>
    <row r="126" spans="1:13">
      <c r="A126" s="19">
        <v>125</v>
      </c>
      <c r="B126" s="19"/>
      <c r="C126" s="19"/>
      <c r="D126" s="19"/>
      <c r="E126" s="17" t="s">
        <v>2184</v>
      </c>
      <c r="F126" s="17" t="s">
        <v>2061</v>
      </c>
      <c r="G126" s="17" t="s">
        <v>453</v>
      </c>
      <c r="H126" s="18">
        <v>141045.43</v>
      </c>
      <c r="I126" s="18">
        <v>7.1054999796800002</v>
      </c>
      <c r="J126" s="18">
        <v>1002198.3</v>
      </c>
      <c r="K126" s="17" t="s">
        <v>2039</v>
      </c>
      <c r="L126" s="23" t="s">
        <v>2185</v>
      </c>
      <c r="M126" s="24"/>
    </row>
    <row r="127" spans="1:13">
      <c r="A127" s="19">
        <v>126</v>
      </c>
      <c r="B127" s="19"/>
      <c r="C127" s="19"/>
      <c r="D127" s="19"/>
      <c r="E127" s="17" t="s">
        <v>2184</v>
      </c>
      <c r="F127" s="17" t="s">
        <v>2051</v>
      </c>
      <c r="G127" s="17" t="s">
        <v>690</v>
      </c>
      <c r="H127" s="18">
        <v>89306.13</v>
      </c>
      <c r="I127" s="18">
        <v>7.1055000367799996</v>
      </c>
      <c r="J127" s="18">
        <v>634564.71</v>
      </c>
      <c r="K127" s="17" t="s">
        <v>2039</v>
      </c>
      <c r="L127" s="23" t="s">
        <v>2186</v>
      </c>
      <c r="M127" s="24"/>
    </row>
    <row r="128" spans="1:13">
      <c r="A128" s="19">
        <v>127</v>
      </c>
      <c r="B128" s="19"/>
      <c r="C128" s="19"/>
      <c r="D128" s="19"/>
      <c r="E128" s="17" t="s">
        <v>2187</v>
      </c>
      <c r="F128" s="17" t="s">
        <v>2041</v>
      </c>
      <c r="G128" s="17" t="s">
        <v>453</v>
      </c>
      <c r="H128" s="18">
        <v>19150.740000000002</v>
      </c>
      <c r="I128" s="18">
        <v>7.0782011131999996</v>
      </c>
      <c r="J128" s="18">
        <v>135552.76999999999</v>
      </c>
      <c r="K128" s="17" t="s">
        <v>2039</v>
      </c>
      <c r="L128" s="23" t="s">
        <v>2188</v>
      </c>
      <c r="M128" s="24"/>
    </row>
    <row r="129" spans="1:13">
      <c r="A129" s="19">
        <v>128</v>
      </c>
      <c r="B129" s="19"/>
      <c r="C129" s="19"/>
      <c r="D129" s="19"/>
      <c r="E129" s="17" t="s">
        <v>2189</v>
      </c>
      <c r="F129" s="17" t="s">
        <v>2078</v>
      </c>
      <c r="G129" s="17" t="s">
        <v>394</v>
      </c>
      <c r="H129" s="18">
        <v>13917.3</v>
      </c>
      <c r="I129" s="18">
        <v>7.0672996917499997</v>
      </c>
      <c r="J129" s="18">
        <v>98357.73</v>
      </c>
      <c r="K129" s="17" t="s">
        <v>2039</v>
      </c>
      <c r="L129" s="23" t="s">
        <v>2190</v>
      </c>
      <c r="M129" s="24"/>
    </row>
    <row r="130" spans="1:13">
      <c r="A130" s="19">
        <v>129</v>
      </c>
      <c r="B130" s="19"/>
      <c r="C130" s="19"/>
      <c r="D130" s="19"/>
      <c r="E130" s="17" t="s">
        <v>2189</v>
      </c>
      <c r="F130" s="17" t="s">
        <v>2069</v>
      </c>
      <c r="G130" s="17" t="s">
        <v>459</v>
      </c>
      <c r="H130" s="18">
        <v>197920.19</v>
      </c>
      <c r="I130" s="18">
        <v>7.0687000148800001</v>
      </c>
      <c r="J130" s="18">
        <v>1399038.45</v>
      </c>
      <c r="K130" s="17" t="s">
        <v>2039</v>
      </c>
      <c r="L130" s="23" t="s">
        <v>2191</v>
      </c>
      <c r="M130" s="24"/>
    </row>
    <row r="131" spans="1:13">
      <c r="A131" s="19">
        <v>130</v>
      </c>
      <c r="B131" s="19"/>
      <c r="C131" s="19"/>
      <c r="D131" s="19"/>
      <c r="E131" s="17" t="s">
        <v>2189</v>
      </c>
      <c r="F131" s="17" t="s">
        <v>2045</v>
      </c>
      <c r="G131" s="17" t="s">
        <v>394</v>
      </c>
      <c r="H131" s="18">
        <v>28871.67</v>
      </c>
      <c r="I131" s="18">
        <v>7.0686998708399997</v>
      </c>
      <c r="J131" s="18">
        <v>204085.17</v>
      </c>
      <c r="K131" s="17" t="s">
        <v>2039</v>
      </c>
      <c r="L131" s="23" t="s">
        <v>2161</v>
      </c>
      <c r="M131" s="24"/>
    </row>
    <row r="132" spans="1:13">
      <c r="A132" s="19">
        <v>131</v>
      </c>
      <c r="B132" s="19"/>
      <c r="C132" s="19"/>
      <c r="D132" s="19"/>
      <c r="E132" s="17" t="s">
        <v>2189</v>
      </c>
      <c r="F132" s="17" t="s">
        <v>2078</v>
      </c>
      <c r="G132" s="17" t="s">
        <v>394</v>
      </c>
      <c r="H132" s="18">
        <v>20913.759999999998</v>
      </c>
      <c r="I132" s="18">
        <v>7.0811001943200003</v>
      </c>
      <c r="J132" s="18">
        <v>148092.43</v>
      </c>
      <c r="K132" s="17" t="s">
        <v>2039</v>
      </c>
      <c r="L132" s="23" t="s">
        <v>2192</v>
      </c>
      <c r="M132" s="24"/>
    </row>
    <row r="133" spans="1:13">
      <c r="A133" s="19">
        <v>132</v>
      </c>
      <c r="B133" s="19"/>
      <c r="C133" s="19"/>
      <c r="D133" s="19"/>
      <c r="E133" s="17" t="s">
        <v>2189</v>
      </c>
      <c r="F133" s="17" t="s">
        <v>2078</v>
      </c>
      <c r="G133" s="17" t="s">
        <v>394</v>
      </c>
      <c r="H133" s="18">
        <v>13630.3</v>
      </c>
      <c r="I133" s="18">
        <v>7.0812997512800004</v>
      </c>
      <c r="J133" s="18">
        <v>96520.24</v>
      </c>
      <c r="K133" s="17" t="s">
        <v>2039</v>
      </c>
      <c r="L133" s="23" t="s">
        <v>2193</v>
      </c>
      <c r="M133" s="24"/>
    </row>
    <row r="134" spans="1:13">
      <c r="A134" s="19">
        <v>133</v>
      </c>
      <c r="B134" s="19"/>
      <c r="C134" s="19"/>
      <c r="D134" s="19"/>
      <c r="E134" s="17" t="s">
        <v>2189</v>
      </c>
      <c r="F134" s="17" t="s">
        <v>2078</v>
      </c>
      <c r="G134" s="17" t="s">
        <v>394</v>
      </c>
      <c r="H134" s="18">
        <v>19574.990000000002</v>
      </c>
      <c r="I134" s="18">
        <v>7.0813001692400004</v>
      </c>
      <c r="J134" s="18">
        <v>138616.38</v>
      </c>
      <c r="K134" s="17" t="s">
        <v>2039</v>
      </c>
      <c r="L134" s="23" t="s">
        <v>2194</v>
      </c>
      <c r="M134" s="24"/>
    </row>
    <row r="135" spans="1:13">
      <c r="A135" s="19">
        <v>134</v>
      </c>
      <c r="B135" s="19"/>
      <c r="C135" s="19"/>
      <c r="D135" s="19"/>
      <c r="E135" s="17" t="s">
        <v>2189</v>
      </c>
      <c r="F135" s="17" t="s">
        <v>2067</v>
      </c>
      <c r="G135" s="17" t="s">
        <v>575</v>
      </c>
      <c r="H135" s="18">
        <v>14347.82</v>
      </c>
      <c r="I135" s="18">
        <v>7.0813001557000002</v>
      </c>
      <c r="J135" s="18">
        <v>101601.22</v>
      </c>
      <c r="K135" s="17" t="s">
        <v>2039</v>
      </c>
      <c r="L135" s="23" t="s">
        <v>2195</v>
      </c>
      <c r="M135" s="24"/>
    </row>
    <row r="136" spans="1:13">
      <c r="A136" s="19">
        <v>135</v>
      </c>
      <c r="B136" s="19"/>
      <c r="C136" s="19"/>
      <c r="D136" s="19"/>
      <c r="E136" s="17" t="s">
        <v>2189</v>
      </c>
      <c r="F136" s="17" t="s">
        <v>2047</v>
      </c>
      <c r="G136" s="17" t="s">
        <v>394</v>
      </c>
      <c r="H136" s="18">
        <v>47627</v>
      </c>
      <c r="I136" s="18">
        <v>7.0813001028800002</v>
      </c>
      <c r="J136" s="18">
        <v>337261.08</v>
      </c>
      <c r="K136" s="17" t="s">
        <v>2039</v>
      </c>
      <c r="L136" s="23" t="s">
        <v>2156</v>
      </c>
      <c r="M136" s="24"/>
    </row>
    <row r="137" spans="1:13">
      <c r="A137" s="19">
        <v>136</v>
      </c>
      <c r="B137" s="19"/>
      <c r="C137" s="19"/>
      <c r="D137" s="19"/>
      <c r="E137" s="17" t="s">
        <v>2189</v>
      </c>
      <c r="F137" s="17" t="s">
        <v>2045</v>
      </c>
      <c r="G137" s="17" t="s">
        <v>394</v>
      </c>
      <c r="H137" s="18">
        <v>24352.47</v>
      </c>
      <c r="I137" s="18">
        <v>7.0813001720099997</v>
      </c>
      <c r="J137" s="18">
        <v>172447.15</v>
      </c>
      <c r="K137" s="17" t="s">
        <v>2039</v>
      </c>
      <c r="L137" s="23" t="s">
        <v>2196</v>
      </c>
      <c r="M137" s="24"/>
    </row>
    <row r="138" spans="1:13">
      <c r="A138" s="19">
        <v>137</v>
      </c>
      <c r="B138" s="19"/>
      <c r="C138" s="19"/>
      <c r="D138" s="19"/>
      <c r="E138" s="17" t="s">
        <v>2197</v>
      </c>
      <c r="F138" s="17" t="s">
        <v>2069</v>
      </c>
      <c r="G138" s="17" t="s">
        <v>459</v>
      </c>
      <c r="H138" s="18">
        <v>4968.67</v>
      </c>
      <c r="I138" s="18">
        <v>7.0816999317700002</v>
      </c>
      <c r="J138" s="18">
        <v>35186.629999999997</v>
      </c>
      <c r="K138" s="17" t="s">
        <v>2039</v>
      </c>
      <c r="L138" s="23" t="s">
        <v>2198</v>
      </c>
      <c r="M138" s="24"/>
    </row>
    <row r="139" spans="1:13">
      <c r="A139" s="19">
        <v>138</v>
      </c>
      <c r="B139" s="19"/>
      <c r="C139" s="19"/>
      <c r="D139" s="19"/>
      <c r="E139" s="17" t="s">
        <v>2197</v>
      </c>
      <c r="F139" s="17" t="s">
        <v>2097</v>
      </c>
      <c r="G139" s="17" t="s">
        <v>394</v>
      </c>
      <c r="H139" s="18">
        <v>32070.77</v>
      </c>
      <c r="I139" s="18">
        <v>7.0816999404700001</v>
      </c>
      <c r="J139" s="18">
        <v>227115.57</v>
      </c>
      <c r="K139" s="17" t="s">
        <v>2039</v>
      </c>
      <c r="L139" s="23" t="s">
        <v>2199</v>
      </c>
      <c r="M139" s="24"/>
    </row>
    <row r="140" spans="1:13">
      <c r="A140" s="19">
        <v>139</v>
      </c>
      <c r="B140" s="19"/>
      <c r="C140" s="19"/>
      <c r="D140" s="19"/>
      <c r="E140" s="17" t="s">
        <v>2197</v>
      </c>
      <c r="F140" s="17" t="s">
        <v>2074</v>
      </c>
      <c r="G140" s="17" t="s">
        <v>670</v>
      </c>
      <c r="H140" s="18">
        <v>63472.81</v>
      </c>
      <c r="I140" s="18">
        <v>7.0817000224099997</v>
      </c>
      <c r="J140" s="18">
        <v>449495.4</v>
      </c>
      <c r="K140" s="17" t="s">
        <v>2039</v>
      </c>
      <c r="L140" s="23" t="s">
        <v>2116</v>
      </c>
      <c r="M140" s="24"/>
    </row>
    <row r="141" spans="1:13">
      <c r="A141" s="19">
        <v>140</v>
      </c>
      <c r="B141" s="19"/>
      <c r="C141" s="19"/>
      <c r="D141" s="19"/>
      <c r="E141" s="17" t="s">
        <v>2200</v>
      </c>
      <c r="F141" s="17" t="s">
        <v>2201</v>
      </c>
      <c r="G141" s="17" t="s">
        <v>394</v>
      </c>
      <c r="H141" s="18">
        <v>9828</v>
      </c>
      <c r="I141" s="18">
        <v>7.0950997150899999</v>
      </c>
      <c r="J141" s="18">
        <v>69730.64</v>
      </c>
      <c r="K141" s="17" t="s">
        <v>2039</v>
      </c>
      <c r="L141" s="23" t="s">
        <v>2202</v>
      </c>
      <c r="M141" s="24"/>
    </row>
    <row r="142" spans="1:13">
      <c r="A142" s="19">
        <v>141</v>
      </c>
      <c r="B142" s="19"/>
      <c r="C142" s="19"/>
      <c r="D142" s="19"/>
      <c r="E142" s="17" t="s">
        <v>2200</v>
      </c>
      <c r="F142" s="17" t="s">
        <v>2051</v>
      </c>
      <c r="G142" s="17" t="s">
        <v>690</v>
      </c>
      <c r="H142" s="18">
        <v>74726.850000000006</v>
      </c>
      <c r="I142" s="18">
        <v>7.0956000420100001</v>
      </c>
      <c r="J142" s="18">
        <v>530231.84</v>
      </c>
      <c r="K142" s="17" t="s">
        <v>2039</v>
      </c>
      <c r="L142" s="23" t="s">
        <v>2203</v>
      </c>
      <c r="M142" s="24"/>
    </row>
    <row r="143" spans="1:13">
      <c r="A143" s="19">
        <v>142</v>
      </c>
      <c r="B143" s="19"/>
      <c r="C143" s="19"/>
      <c r="D143" s="19"/>
      <c r="E143" s="17" t="s">
        <v>2200</v>
      </c>
      <c r="F143" s="17" t="s">
        <v>2056</v>
      </c>
      <c r="G143" s="17" t="s">
        <v>394</v>
      </c>
      <c r="H143" s="18">
        <v>17785.810000000001</v>
      </c>
      <c r="I143" s="18">
        <v>7.0955998068100001</v>
      </c>
      <c r="J143" s="18">
        <v>126200.99</v>
      </c>
      <c r="K143" s="17" t="s">
        <v>2039</v>
      </c>
      <c r="L143" s="23" t="s">
        <v>2174</v>
      </c>
      <c r="M143" s="24"/>
    </row>
    <row r="144" spans="1:13">
      <c r="A144" s="19">
        <v>143</v>
      </c>
      <c r="B144" s="19"/>
      <c r="C144" s="19"/>
      <c r="D144" s="19"/>
      <c r="E144" s="17" t="s">
        <v>2200</v>
      </c>
      <c r="F144" s="17" t="s">
        <v>2061</v>
      </c>
      <c r="G144" s="17" t="s">
        <v>453</v>
      </c>
      <c r="H144" s="18">
        <v>144529.51</v>
      </c>
      <c r="I144" s="18">
        <v>7.0955999920000004</v>
      </c>
      <c r="J144" s="18">
        <v>1025523.59</v>
      </c>
      <c r="K144" s="17" t="s">
        <v>2039</v>
      </c>
      <c r="L144" s="23" t="s">
        <v>2204</v>
      </c>
      <c r="M144" s="24"/>
    </row>
    <row r="145" spans="1:13">
      <c r="A145" s="19">
        <v>144</v>
      </c>
      <c r="B145" s="19"/>
      <c r="C145" s="19"/>
      <c r="D145" s="19"/>
      <c r="E145" s="17" t="s">
        <v>1520</v>
      </c>
      <c r="F145" s="17" t="s">
        <v>2074</v>
      </c>
      <c r="G145" s="17" t="s">
        <v>670</v>
      </c>
      <c r="H145" s="18">
        <v>47928.95</v>
      </c>
      <c r="I145" s="18">
        <v>7.1088999446000001</v>
      </c>
      <c r="J145" s="18">
        <v>340722.11</v>
      </c>
      <c r="K145" s="17" t="s">
        <v>2039</v>
      </c>
      <c r="L145" s="23" t="s">
        <v>2116</v>
      </c>
      <c r="M145" s="24"/>
    </row>
    <row r="146" spans="1:13">
      <c r="A146" s="19">
        <v>145</v>
      </c>
      <c r="B146" s="19"/>
      <c r="C146" s="19"/>
      <c r="D146" s="19"/>
      <c r="E146" s="17" t="s">
        <v>2205</v>
      </c>
      <c r="F146" s="17" t="s">
        <v>2047</v>
      </c>
      <c r="G146" s="17" t="s">
        <v>394</v>
      </c>
      <c r="H146" s="18">
        <v>27522.89</v>
      </c>
      <c r="I146" s="18">
        <v>7.1105999406300002</v>
      </c>
      <c r="J146" s="18">
        <v>195704.26</v>
      </c>
      <c r="K146" s="17" t="s">
        <v>2039</v>
      </c>
      <c r="L146" s="23" t="s">
        <v>2156</v>
      </c>
      <c r="M146" s="24"/>
    </row>
    <row r="147" spans="1:13">
      <c r="A147" s="19">
        <v>146</v>
      </c>
      <c r="B147" s="19"/>
      <c r="C147" s="19"/>
      <c r="D147" s="19"/>
      <c r="E147" s="17" t="s">
        <v>2205</v>
      </c>
      <c r="F147" s="17" t="s">
        <v>2045</v>
      </c>
      <c r="G147" s="17" t="s">
        <v>394</v>
      </c>
      <c r="H147" s="18">
        <v>13897.54</v>
      </c>
      <c r="I147" s="18">
        <v>7.1106001493699997</v>
      </c>
      <c r="J147" s="18">
        <v>98819.85</v>
      </c>
      <c r="K147" s="17" t="s">
        <v>2039</v>
      </c>
      <c r="L147" s="23" t="s">
        <v>2206</v>
      </c>
      <c r="M147" s="24"/>
    </row>
    <row r="148" spans="1:13">
      <c r="A148" s="19">
        <v>147</v>
      </c>
      <c r="B148" s="19"/>
      <c r="C148" s="19"/>
      <c r="D148" s="19"/>
      <c r="E148" s="17" t="s">
        <v>2205</v>
      </c>
      <c r="F148" s="17" t="s">
        <v>2074</v>
      </c>
      <c r="G148" s="17" t="s">
        <v>670</v>
      </c>
      <c r="H148" s="18">
        <v>48070.57</v>
      </c>
      <c r="I148" s="18">
        <v>7.1129999082499999</v>
      </c>
      <c r="J148" s="18">
        <v>341925.96</v>
      </c>
      <c r="K148" s="17" t="s">
        <v>2039</v>
      </c>
      <c r="L148" s="23" t="s">
        <v>2116</v>
      </c>
      <c r="M148" s="24"/>
    </row>
    <row r="149" spans="1:13">
      <c r="A149" s="19">
        <v>148</v>
      </c>
      <c r="B149" s="19"/>
      <c r="C149" s="19"/>
      <c r="D149" s="19"/>
      <c r="E149" s="17" t="s">
        <v>2205</v>
      </c>
      <c r="F149" s="17" t="s">
        <v>2061</v>
      </c>
      <c r="G149" s="17" t="s">
        <v>453</v>
      </c>
      <c r="H149" s="18">
        <v>54782.400000000001</v>
      </c>
      <c r="I149" s="18">
        <v>7.1229000554921997</v>
      </c>
      <c r="J149" s="18">
        <v>390209.56</v>
      </c>
      <c r="K149" s="17" t="s">
        <v>2039</v>
      </c>
      <c r="L149" s="23" t="s">
        <v>2207</v>
      </c>
      <c r="M149" s="24"/>
    </row>
    <row r="150" spans="1:13">
      <c r="A150" s="19">
        <v>149</v>
      </c>
      <c r="B150" s="19"/>
      <c r="C150" s="19"/>
      <c r="D150" s="19"/>
      <c r="E150" s="17" t="s">
        <v>1696</v>
      </c>
      <c r="F150" s="17" t="s">
        <v>2067</v>
      </c>
      <c r="G150" s="17" t="s">
        <v>575</v>
      </c>
      <c r="H150" s="18">
        <v>6814</v>
      </c>
      <c r="I150" s="18">
        <v>7.12389932491</v>
      </c>
      <c r="J150" s="18">
        <v>48542.25</v>
      </c>
      <c r="K150" s="17" t="s">
        <v>2039</v>
      </c>
      <c r="L150" s="23" t="s">
        <v>2178</v>
      </c>
      <c r="M150" s="24"/>
    </row>
    <row r="151" spans="1:13">
      <c r="A151" s="19">
        <v>150</v>
      </c>
      <c r="B151" s="19"/>
      <c r="C151" s="19"/>
      <c r="D151" s="19"/>
      <c r="E151" s="17" t="s">
        <v>1696</v>
      </c>
      <c r="F151" s="17" t="s">
        <v>2125</v>
      </c>
      <c r="G151" s="17" t="s">
        <v>394</v>
      </c>
      <c r="H151" s="18">
        <v>12678</v>
      </c>
      <c r="I151" s="18">
        <v>7.12389966871</v>
      </c>
      <c r="J151" s="18">
        <v>90316.800000000003</v>
      </c>
      <c r="K151" s="17" t="s">
        <v>2039</v>
      </c>
      <c r="L151" s="23" t="s">
        <v>2208</v>
      </c>
      <c r="M151" s="24"/>
    </row>
    <row r="152" spans="1:13">
      <c r="A152" s="19">
        <v>151</v>
      </c>
      <c r="B152" s="19"/>
      <c r="C152" s="19"/>
      <c r="D152" s="19"/>
      <c r="E152" s="17" t="s">
        <v>1696</v>
      </c>
      <c r="F152" s="17" t="s">
        <v>2069</v>
      </c>
      <c r="G152" s="17" t="s">
        <v>459</v>
      </c>
      <c r="H152" s="18">
        <v>61529.64</v>
      </c>
      <c r="I152" s="18">
        <v>7.1238999610500002</v>
      </c>
      <c r="J152" s="18">
        <v>438331</v>
      </c>
      <c r="K152" s="17" t="s">
        <v>2039</v>
      </c>
      <c r="L152" s="23" t="s">
        <v>2198</v>
      </c>
      <c r="M152" s="24"/>
    </row>
    <row r="153" spans="1:13">
      <c r="A153" s="19">
        <v>152</v>
      </c>
      <c r="B153" s="19"/>
      <c r="C153" s="19"/>
      <c r="D153" s="19"/>
      <c r="E153" s="17" t="s">
        <v>1696</v>
      </c>
      <c r="F153" s="17" t="s">
        <v>2125</v>
      </c>
      <c r="G153" s="17" t="s">
        <v>394</v>
      </c>
      <c r="H153" s="18">
        <v>29611.66</v>
      </c>
      <c r="I153" s="18">
        <v>7.1191000436899996</v>
      </c>
      <c r="J153" s="18">
        <v>210808.37</v>
      </c>
      <c r="K153" s="17" t="s">
        <v>2039</v>
      </c>
      <c r="L153" s="23" t="s">
        <v>2208</v>
      </c>
      <c r="M153" s="24"/>
    </row>
    <row r="154" spans="1:13">
      <c r="A154" s="19">
        <v>153</v>
      </c>
      <c r="B154" s="19"/>
      <c r="C154" s="19"/>
      <c r="D154" s="19"/>
      <c r="E154" s="17" t="s">
        <v>1696</v>
      </c>
      <c r="F154" s="17" t="s">
        <v>2078</v>
      </c>
      <c r="G154" s="17" t="s">
        <v>394</v>
      </c>
      <c r="H154" s="18">
        <v>63022.61</v>
      </c>
      <c r="I154" s="18">
        <v>7.1190999547600002</v>
      </c>
      <c r="J154" s="18">
        <v>448664.26</v>
      </c>
      <c r="K154" s="17" t="s">
        <v>2039</v>
      </c>
      <c r="L154" s="23" t="s">
        <v>2209</v>
      </c>
      <c r="M154" s="24"/>
    </row>
    <row r="155" spans="1:13">
      <c r="A155" s="19">
        <v>154</v>
      </c>
      <c r="B155" s="19"/>
      <c r="C155" s="19"/>
      <c r="D155" s="19"/>
      <c r="E155" s="17" t="s">
        <v>1696</v>
      </c>
      <c r="F155" s="17" t="s">
        <v>2078</v>
      </c>
      <c r="G155" s="17" t="s">
        <v>394</v>
      </c>
      <c r="H155" s="18">
        <v>101532.42</v>
      </c>
      <c r="I155" s="18">
        <v>7.1190999879600003</v>
      </c>
      <c r="J155" s="18">
        <v>722819.45</v>
      </c>
      <c r="K155" s="17" t="s">
        <v>2039</v>
      </c>
      <c r="L155" s="23" t="s">
        <v>2210</v>
      </c>
      <c r="M155" s="24"/>
    </row>
    <row r="156" spans="1:13">
      <c r="A156" s="19">
        <v>155</v>
      </c>
      <c r="B156" s="19"/>
      <c r="C156" s="19"/>
      <c r="D156" s="19"/>
      <c r="E156" s="17" t="s">
        <v>1696</v>
      </c>
      <c r="F156" s="17" t="s">
        <v>2045</v>
      </c>
      <c r="G156" s="17" t="s">
        <v>394</v>
      </c>
      <c r="H156" s="18">
        <v>10000</v>
      </c>
      <c r="I156" s="18">
        <v>7.1189</v>
      </c>
      <c r="J156" s="18">
        <v>71189</v>
      </c>
      <c r="K156" s="17" t="s">
        <v>2039</v>
      </c>
      <c r="L156" s="23" t="s">
        <v>2211</v>
      </c>
      <c r="M156" s="24"/>
    </row>
    <row r="157" spans="1:13">
      <c r="A157" s="19">
        <v>156</v>
      </c>
      <c r="B157" s="19"/>
      <c r="C157" s="19"/>
      <c r="D157" s="19"/>
      <c r="E157" s="17" t="s">
        <v>782</v>
      </c>
      <c r="F157" s="17" t="s">
        <v>2201</v>
      </c>
      <c r="G157" s="17" t="s">
        <v>394</v>
      </c>
      <c r="H157" s="18">
        <v>11680.54</v>
      </c>
      <c r="I157" s="18">
        <v>7.1196999453699998</v>
      </c>
      <c r="J157" s="18">
        <v>83161.94</v>
      </c>
      <c r="K157" s="17" t="s">
        <v>2039</v>
      </c>
      <c r="L157" s="23" t="s">
        <v>2202</v>
      </c>
      <c r="M157" s="24"/>
    </row>
    <row r="158" spans="1:13">
      <c r="A158" s="19">
        <v>157</v>
      </c>
      <c r="B158" s="19"/>
      <c r="C158" s="19"/>
      <c r="D158" s="19"/>
      <c r="E158" s="17" t="s">
        <v>782</v>
      </c>
      <c r="F158" s="17" t="s">
        <v>2089</v>
      </c>
      <c r="G158" s="17" t="s">
        <v>394</v>
      </c>
      <c r="H158" s="18">
        <v>15017.17</v>
      </c>
      <c r="I158" s="18">
        <v>7.1197003163700003</v>
      </c>
      <c r="J158" s="18">
        <v>106917.75</v>
      </c>
      <c r="K158" s="17" t="s">
        <v>2039</v>
      </c>
      <c r="L158" s="23" t="s">
        <v>2177</v>
      </c>
      <c r="M158" s="24"/>
    </row>
    <row r="159" spans="1:13">
      <c r="A159" s="19">
        <v>158</v>
      </c>
      <c r="B159" s="19"/>
      <c r="C159" s="19"/>
      <c r="D159" s="19"/>
      <c r="E159" s="17" t="s">
        <v>782</v>
      </c>
      <c r="F159" s="17" t="s">
        <v>2043</v>
      </c>
      <c r="G159" s="17" t="s">
        <v>394</v>
      </c>
      <c r="H159" s="18">
        <v>7098.52</v>
      </c>
      <c r="I159" s="18">
        <v>7.1196995993499996</v>
      </c>
      <c r="J159" s="18">
        <v>50539.33</v>
      </c>
      <c r="K159" s="17" t="s">
        <v>2039</v>
      </c>
      <c r="L159" s="23" t="s">
        <v>2157</v>
      </c>
      <c r="M159" s="24"/>
    </row>
    <row r="160" spans="1:13">
      <c r="A160" s="19">
        <v>159</v>
      </c>
      <c r="B160" s="19"/>
      <c r="C160" s="19"/>
      <c r="D160" s="19"/>
      <c r="E160" s="17" t="s">
        <v>782</v>
      </c>
      <c r="F160" s="17" t="s">
        <v>2061</v>
      </c>
      <c r="G160" s="17" t="s">
        <v>453</v>
      </c>
      <c r="H160" s="18">
        <v>20985.39</v>
      </c>
      <c r="I160" s="18">
        <v>7.1196999436199997</v>
      </c>
      <c r="J160" s="18">
        <v>149409.68</v>
      </c>
      <c r="K160" s="17" t="s">
        <v>2039</v>
      </c>
      <c r="L160" s="23" t="s">
        <v>2212</v>
      </c>
      <c r="M160" s="24"/>
    </row>
    <row r="161" spans="1:13">
      <c r="A161" s="19">
        <v>160</v>
      </c>
      <c r="B161" s="19"/>
      <c r="C161" s="19"/>
      <c r="D161" s="19"/>
      <c r="E161" s="17" t="s">
        <v>782</v>
      </c>
      <c r="F161" s="17" t="s">
        <v>2041</v>
      </c>
      <c r="G161" s="17" t="s">
        <v>453</v>
      </c>
      <c r="H161" s="18">
        <v>37623.449999999997</v>
      </c>
      <c r="I161" s="18">
        <v>7.1197000806600004</v>
      </c>
      <c r="J161" s="18">
        <v>267867.68</v>
      </c>
      <c r="K161" s="17" t="s">
        <v>2039</v>
      </c>
      <c r="L161" s="23" t="s">
        <v>2213</v>
      </c>
      <c r="M161" s="24"/>
    </row>
    <row r="162" spans="1:13">
      <c r="A162" s="19">
        <v>161</v>
      </c>
      <c r="B162" s="19"/>
      <c r="C162" s="19"/>
      <c r="D162" s="19"/>
      <c r="E162" s="17" t="s">
        <v>782</v>
      </c>
      <c r="F162" s="17" t="s">
        <v>2045</v>
      </c>
      <c r="G162" s="17" t="s">
        <v>394</v>
      </c>
      <c r="H162" s="18">
        <v>15573.7</v>
      </c>
      <c r="I162" s="18">
        <v>7.1196998786399996</v>
      </c>
      <c r="J162" s="18">
        <v>110880.07</v>
      </c>
      <c r="K162" s="17" t="s">
        <v>2039</v>
      </c>
      <c r="L162" s="23" t="s">
        <v>2214</v>
      </c>
      <c r="M162" s="24"/>
    </row>
    <row r="163" spans="1:13">
      <c r="A163" s="19">
        <v>162</v>
      </c>
      <c r="B163" s="19"/>
      <c r="C163" s="19"/>
      <c r="D163" s="19"/>
      <c r="E163" s="17" t="s">
        <v>782</v>
      </c>
      <c r="F163" s="17" t="s">
        <v>2056</v>
      </c>
      <c r="G163" s="17" t="s">
        <v>394</v>
      </c>
      <c r="H163" s="18">
        <v>17976.78</v>
      </c>
      <c r="I163" s="18">
        <v>7.11969996851</v>
      </c>
      <c r="J163" s="18">
        <v>127989.28</v>
      </c>
      <c r="K163" s="17" t="s">
        <v>2039</v>
      </c>
      <c r="L163" s="23" t="s">
        <v>2215</v>
      </c>
      <c r="M163" s="24"/>
    </row>
    <row r="164" spans="1:13">
      <c r="A164" s="19">
        <v>163</v>
      </c>
      <c r="B164" s="19"/>
      <c r="C164" s="19"/>
      <c r="D164" s="19"/>
      <c r="E164" s="17" t="s">
        <v>782</v>
      </c>
      <c r="F164" s="17" t="s">
        <v>2051</v>
      </c>
      <c r="G164" s="17" t="s">
        <v>690</v>
      </c>
      <c r="H164" s="18">
        <v>77115.839999999997</v>
      </c>
      <c r="I164" s="18">
        <v>7.1197000512399997</v>
      </c>
      <c r="J164" s="18">
        <v>549041.65</v>
      </c>
      <c r="K164" s="17" t="s">
        <v>2039</v>
      </c>
      <c r="L164" s="23" t="s">
        <v>2216</v>
      </c>
      <c r="M164" s="24"/>
    </row>
    <row r="165" spans="1:13">
      <c r="A165" s="19">
        <v>164</v>
      </c>
      <c r="B165" s="19"/>
      <c r="C165" s="19"/>
      <c r="D165" s="19"/>
      <c r="E165" s="17" t="s">
        <v>782</v>
      </c>
      <c r="F165" s="17" t="s">
        <v>2047</v>
      </c>
      <c r="G165" s="17" t="s">
        <v>394</v>
      </c>
      <c r="H165" s="18">
        <v>119308.38</v>
      </c>
      <c r="I165" s="18">
        <v>7.1196999741300004</v>
      </c>
      <c r="J165" s="18">
        <v>849439.87</v>
      </c>
      <c r="K165" s="17" t="s">
        <v>2039</v>
      </c>
      <c r="L165" s="23" t="s">
        <v>2156</v>
      </c>
      <c r="M165" s="24"/>
    </row>
    <row r="166" spans="1:13">
      <c r="A166" s="19">
        <v>165</v>
      </c>
      <c r="B166" s="19"/>
      <c r="C166" s="19"/>
      <c r="D166" s="19"/>
      <c r="E166" s="17" t="s">
        <v>782</v>
      </c>
      <c r="F166" s="17" t="s">
        <v>2061</v>
      </c>
      <c r="G166" s="17" t="s">
        <v>453</v>
      </c>
      <c r="H166" s="18">
        <v>118186.43</v>
      </c>
      <c r="I166" s="18">
        <v>7.1139999744400004</v>
      </c>
      <c r="J166" s="18">
        <v>840778.26</v>
      </c>
      <c r="K166" s="17" t="s">
        <v>2039</v>
      </c>
      <c r="L166" s="23" t="s">
        <v>2217</v>
      </c>
      <c r="M166" s="24"/>
    </row>
    <row r="167" spans="1:13">
      <c r="A167" s="19">
        <v>166</v>
      </c>
      <c r="B167" s="19"/>
      <c r="C167" s="19"/>
      <c r="D167" s="19"/>
      <c r="E167" s="17" t="s">
        <v>782</v>
      </c>
      <c r="F167" s="17" t="s">
        <v>2201</v>
      </c>
      <c r="G167" s="17" t="s">
        <v>394</v>
      </c>
      <c r="H167" s="18">
        <v>11747.23</v>
      </c>
      <c r="I167" s="18">
        <v>7.1139996407600004</v>
      </c>
      <c r="J167" s="18">
        <v>83569.789999999994</v>
      </c>
      <c r="K167" s="17" t="s">
        <v>2039</v>
      </c>
      <c r="L167" s="23" t="s">
        <v>2202</v>
      </c>
      <c r="M167" s="24"/>
    </row>
    <row r="168" spans="1:13">
      <c r="A168" s="19">
        <v>167</v>
      </c>
      <c r="B168" s="19"/>
      <c r="C168" s="19"/>
      <c r="D168" s="19"/>
      <c r="E168" s="17" t="s">
        <v>782</v>
      </c>
      <c r="F168" s="17" t="s">
        <v>2056</v>
      </c>
      <c r="G168" s="17" t="s">
        <v>394</v>
      </c>
      <c r="H168" s="18">
        <v>17976.78</v>
      </c>
      <c r="I168" s="18">
        <v>7.1139998375599998</v>
      </c>
      <c r="J168" s="18">
        <v>127886.81</v>
      </c>
      <c r="K168" s="17" t="s">
        <v>2039</v>
      </c>
      <c r="L168" s="23" t="s">
        <v>2215</v>
      </c>
      <c r="M168" s="24"/>
    </row>
    <row r="169" spans="1:13">
      <c r="A169" s="19">
        <v>168</v>
      </c>
      <c r="B169" s="19"/>
      <c r="C169" s="19"/>
      <c r="D169" s="19"/>
      <c r="E169" s="17" t="s">
        <v>782</v>
      </c>
      <c r="F169" s="17" t="s">
        <v>2097</v>
      </c>
      <c r="G169" s="17" t="s">
        <v>394</v>
      </c>
      <c r="H169" s="18">
        <v>263451.28999999998</v>
      </c>
      <c r="I169" s="18">
        <v>7.1156999838499999</v>
      </c>
      <c r="J169" s="18">
        <v>1874640.34</v>
      </c>
      <c r="K169" s="17" t="s">
        <v>2039</v>
      </c>
      <c r="L169" s="23" t="s">
        <v>2218</v>
      </c>
      <c r="M169" s="24"/>
    </row>
    <row r="170" spans="1:13">
      <c r="A170" s="19">
        <v>169</v>
      </c>
      <c r="B170" s="19"/>
      <c r="C170" s="19"/>
      <c r="D170" s="19"/>
      <c r="E170" s="17" t="s">
        <v>782</v>
      </c>
      <c r="F170" s="17" t="s">
        <v>2078</v>
      </c>
      <c r="G170" s="17" t="s">
        <v>394</v>
      </c>
      <c r="H170" s="18">
        <v>20039.48</v>
      </c>
      <c r="I170" s="18">
        <v>7.1157001079800004</v>
      </c>
      <c r="J170" s="18">
        <v>142594.93</v>
      </c>
      <c r="K170" s="17" t="s">
        <v>2039</v>
      </c>
      <c r="L170" s="23" t="s">
        <v>2219</v>
      </c>
      <c r="M170" s="24"/>
    </row>
    <row r="171" spans="1:13">
      <c r="A171" s="19">
        <v>170</v>
      </c>
      <c r="B171" s="19"/>
      <c r="C171" s="19"/>
      <c r="D171" s="19"/>
      <c r="E171" s="17" t="s">
        <v>782</v>
      </c>
      <c r="F171" s="17" t="s">
        <v>2078</v>
      </c>
      <c r="G171" s="17" t="s">
        <v>394</v>
      </c>
      <c r="H171" s="18">
        <v>15109.17</v>
      </c>
      <c r="I171" s="18">
        <v>7.1156999358600004</v>
      </c>
      <c r="J171" s="18">
        <v>107512.32000000001</v>
      </c>
      <c r="K171" s="17" t="s">
        <v>2039</v>
      </c>
      <c r="L171" s="23" t="s">
        <v>2220</v>
      </c>
      <c r="M171" s="24"/>
    </row>
    <row r="172" spans="1:13">
      <c r="A172" s="19">
        <v>171</v>
      </c>
      <c r="B172" s="19"/>
      <c r="C172" s="19"/>
      <c r="D172" s="19"/>
      <c r="E172" s="17" t="s">
        <v>782</v>
      </c>
      <c r="F172" s="17" t="s">
        <v>2078</v>
      </c>
      <c r="G172" s="17" t="s">
        <v>394</v>
      </c>
      <c r="H172" s="18">
        <v>31137.73</v>
      </c>
      <c r="I172" s="18">
        <v>7.1157004701300002</v>
      </c>
      <c r="J172" s="18">
        <v>221566.75</v>
      </c>
      <c r="K172" s="17" t="s">
        <v>2039</v>
      </c>
      <c r="L172" s="23" t="s">
        <v>2221</v>
      </c>
      <c r="M172" s="24"/>
    </row>
    <row r="173" spans="1:13">
      <c r="A173" s="19">
        <v>172</v>
      </c>
      <c r="B173" s="19"/>
      <c r="C173" s="19"/>
      <c r="D173" s="19"/>
      <c r="E173" s="17" t="s">
        <v>782</v>
      </c>
      <c r="F173" s="17" t="s">
        <v>2167</v>
      </c>
      <c r="G173" s="17" t="s">
        <v>394</v>
      </c>
      <c r="H173" s="18">
        <v>19856.22</v>
      </c>
      <c r="I173" s="18">
        <v>7.1156997656099996</v>
      </c>
      <c r="J173" s="18">
        <v>141290.9</v>
      </c>
      <c r="K173" s="17" t="s">
        <v>2039</v>
      </c>
      <c r="L173" s="23" t="s">
        <v>2222</v>
      </c>
      <c r="M173" s="24"/>
    </row>
    <row r="174" spans="1:13">
      <c r="A174" s="19">
        <v>173</v>
      </c>
      <c r="B174" s="19"/>
      <c r="C174" s="19"/>
      <c r="D174" s="19"/>
      <c r="E174" s="17" t="s">
        <v>2223</v>
      </c>
      <c r="F174" s="17" t="s">
        <v>2047</v>
      </c>
      <c r="G174" s="17" t="s">
        <v>394</v>
      </c>
      <c r="H174" s="18">
        <v>134524.1</v>
      </c>
      <c r="I174" s="18">
        <v>7.0962000117399997</v>
      </c>
      <c r="J174" s="18">
        <v>954609.92</v>
      </c>
      <c r="K174" s="17" t="s">
        <v>2039</v>
      </c>
      <c r="L174" s="23" t="s">
        <v>2156</v>
      </c>
      <c r="M174" s="24"/>
    </row>
    <row r="175" spans="1:13">
      <c r="A175" s="19">
        <v>174</v>
      </c>
      <c r="B175" s="19"/>
      <c r="C175" s="19"/>
      <c r="D175" s="19"/>
      <c r="E175" s="17" t="s">
        <v>2223</v>
      </c>
      <c r="F175" s="17" t="s">
        <v>2069</v>
      </c>
      <c r="G175" s="17" t="s">
        <v>459</v>
      </c>
      <c r="H175" s="18">
        <v>122135.67999999999</v>
      </c>
      <c r="I175" s="18">
        <v>7.0961999802187199</v>
      </c>
      <c r="J175" s="18">
        <v>866699.21</v>
      </c>
      <c r="K175" s="17" t="s">
        <v>2039</v>
      </c>
      <c r="L175" s="23" t="s">
        <v>2198</v>
      </c>
      <c r="M175" s="24"/>
    </row>
    <row r="176" spans="1:13">
      <c r="A176" s="19">
        <v>175</v>
      </c>
      <c r="B176" s="19"/>
      <c r="C176" s="19"/>
      <c r="D176" s="19"/>
      <c r="E176" s="17" t="s">
        <v>2223</v>
      </c>
      <c r="F176" s="17" t="s">
        <v>2074</v>
      </c>
      <c r="G176" s="17" t="s">
        <v>670</v>
      </c>
      <c r="H176" s="18">
        <v>47969.11</v>
      </c>
      <c r="I176" s="18">
        <v>7.0962000337299997</v>
      </c>
      <c r="J176" s="18">
        <v>340398.4</v>
      </c>
      <c r="K176" s="17" t="s">
        <v>2039</v>
      </c>
      <c r="L176" s="23" t="s">
        <v>2116</v>
      </c>
      <c r="M176" s="24"/>
    </row>
    <row r="177" spans="1:13">
      <c r="A177" s="19">
        <v>176</v>
      </c>
      <c r="B177" s="20"/>
      <c r="C177" s="19"/>
      <c r="D177" s="19"/>
      <c r="E177" s="17" t="s">
        <v>2224</v>
      </c>
      <c r="F177" s="17" t="s">
        <v>2133</v>
      </c>
      <c r="G177" s="17" t="s">
        <v>575</v>
      </c>
      <c r="H177" s="18">
        <v>18471.82</v>
      </c>
      <c r="I177" s="18">
        <v>7.0591002943900003</v>
      </c>
      <c r="J177" s="18">
        <v>130394.43</v>
      </c>
      <c r="K177" s="17" t="s">
        <v>2134</v>
      </c>
      <c r="L177" s="23" t="s">
        <v>2138</v>
      </c>
      <c r="M177" s="26"/>
    </row>
    <row r="178" spans="1:13">
      <c r="A178" s="19">
        <v>177</v>
      </c>
      <c r="B178" s="19"/>
      <c r="C178" s="19"/>
      <c r="D178" s="19"/>
      <c r="E178" s="17" t="s">
        <v>882</v>
      </c>
      <c r="F178" s="17" t="s">
        <v>2089</v>
      </c>
      <c r="G178" s="17" t="s">
        <v>394</v>
      </c>
      <c r="H178" s="18">
        <v>13947</v>
      </c>
      <c r="I178" s="18">
        <v>7.0514999641399996</v>
      </c>
      <c r="J178" s="18">
        <v>98347.27</v>
      </c>
      <c r="K178" s="17" t="s">
        <v>2039</v>
      </c>
      <c r="L178" s="23" t="s">
        <v>2225</v>
      </c>
      <c r="M178" s="24"/>
    </row>
    <row r="179" spans="1:13">
      <c r="A179" s="19">
        <v>178</v>
      </c>
      <c r="B179" s="19"/>
      <c r="C179" s="19"/>
      <c r="D179" s="19"/>
      <c r="E179" s="17" t="s">
        <v>882</v>
      </c>
      <c r="F179" s="17" t="s">
        <v>2074</v>
      </c>
      <c r="G179" s="17" t="s">
        <v>670</v>
      </c>
      <c r="H179" s="18">
        <v>60977</v>
      </c>
      <c r="I179" s="18">
        <v>7.0515000737899998</v>
      </c>
      <c r="J179" s="18">
        <v>429979.32</v>
      </c>
      <c r="K179" s="17" t="s">
        <v>2039</v>
      </c>
      <c r="L179" s="23" t="s">
        <v>2116</v>
      </c>
      <c r="M179" s="24"/>
    </row>
    <row r="180" spans="1:13">
      <c r="A180" s="19">
        <v>179</v>
      </c>
      <c r="B180" s="19"/>
      <c r="C180" s="19"/>
      <c r="D180" s="19"/>
      <c r="E180" s="17" t="s">
        <v>882</v>
      </c>
      <c r="F180" s="17" t="s">
        <v>2071</v>
      </c>
      <c r="G180" s="17" t="s">
        <v>453</v>
      </c>
      <c r="H180" s="18">
        <v>49966.23</v>
      </c>
      <c r="I180" s="18">
        <v>7.0514999830800003</v>
      </c>
      <c r="J180" s="18">
        <v>352336.87</v>
      </c>
      <c r="K180" s="17" t="s">
        <v>2039</v>
      </c>
      <c r="L180" s="23" t="s">
        <v>2226</v>
      </c>
      <c r="M180" s="24"/>
    </row>
    <row r="181" spans="1:13">
      <c r="A181" s="19">
        <v>180</v>
      </c>
      <c r="B181" s="20"/>
      <c r="C181" s="19"/>
      <c r="D181" s="19"/>
      <c r="E181" s="17" t="s">
        <v>882</v>
      </c>
      <c r="F181" s="17" t="s">
        <v>2133</v>
      </c>
      <c r="G181" s="17" t="s">
        <v>575</v>
      </c>
      <c r="H181" s="18">
        <v>7971.6</v>
      </c>
      <c r="I181" s="18">
        <v>7.0850996035899998</v>
      </c>
      <c r="J181" s="18">
        <v>56479.58</v>
      </c>
      <c r="K181" s="17" t="s">
        <v>2134</v>
      </c>
      <c r="L181" s="23" t="s">
        <v>2227</v>
      </c>
      <c r="M181" s="26"/>
    </row>
    <row r="182" spans="1:13">
      <c r="A182" s="19">
        <v>181</v>
      </c>
      <c r="B182" s="19"/>
      <c r="C182" s="19"/>
      <c r="D182" s="19"/>
      <c r="E182" s="17" t="s">
        <v>882</v>
      </c>
      <c r="F182" s="17" t="s">
        <v>2101</v>
      </c>
      <c r="G182" s="17" t="s">
        <v>394</v>
      </c>
      <c r="H182" s="18">
        <v>7385</v>
      </c>
      <c r="I182" s="18">
        <v>7.0887000676999996</v>
      </c>
      <c r="J182" s="18">
        <v>52350.05</v>
      </c>
      <c r="K182" s="17" t="s">
        <v>2039</v>
      </c>
      <c r="L182" s="23" t="s">
        <v>2228</v>
      </c>
      <c r="M182" s="24"/>
    </row>
    <row r="183" spans="1:13">
      <c r="A183" s="19">
        <v>182</v>
      </c>
      <c r="B183" s="19"/>
      <c r="C183" s="19"/>
      <c r="D183" s="19"/>
      <c r="E183" s="17" t="s">
        <v>882</v>
      </c>
      <c r="F183" s="17" t="s">
        <v>2078</v>
      </c>
      <c r="G183" s="17" t="s">
        <v>394</v>
      </c>
      <c r="H183" s="18">
        <v>16835.38</v>
      </c>
      <c r="I183" s="18">
        <v>7.0887001065600002</v>
      </c>
      <c r="J183" s="18">
        <v>119340.96</v>
      </c>
      <c r="K183" s="17" t="s">
        <v>2039</v>
      </c>
      <c r="L183" s="23" t="s">
        <v>2229</v>
      </c>
      <c r="M183" s="24"/>
    </row>
    <row r="184" spans="1:13">
      <c r="A184" s="19">
        <v>183</v>
      </c>
      <c r="B184" s="19"/>
      <c r="C184" s="19"/>
      <c r="D184" s="19"/>
      <c r="E184" s="17" t="s">
        <v>882</v>
      </c>
      <c r="F184" s="17" t="s">
        <v>2061</v>
      </c>
      <c r="G184" s="17" t="s">
        <v>453</v>
      </c>
      <c r="H184" s="18">
        <v>120607.52</v>
      </c>
      <c r="I184" s="18">
        <v>7.08900000596</v>
      </c>
      <c r="J184" s="18">
        <v>854986.71</v>
      </c>
      <c r="K184" s="17" t="s">
        <v>2039</v>
      </c>
      <c r="L184" s="23" t="s">
        <v>2230</v>
      </c>
      <c r="M184" s="26"/>
    </row>
    <row r="185" spans="1:13">
      <c r="A185" s="19">
        <v>184</v>
      </c>
      <c r="B185" s="19"/>
      <c r="C185" s="19"/>
      <c r="D185" s="19"/>
      <c r="E185" s="17" t="s">
        <v>882</v>
      </c>
      <c r="F185" s="17" t="s">
        <v>2045</v>
      </c>
      <c r="G185" s="17" t="s">
        <v>394</v>
      </c>
      <c r="H185" s="18">
        <v>42055.08</v>
      </c>
      <c r="I185" s="18">
        <v>7.0889999495799998</v>
      </c>
      <c r="J185" s="18">
        <v>298128.46000000002</v>
      </c>
      <c r="K185" s="17" t="s">
        <v>2039</v>
      </c>
      <c r="L185" s="23" t="s">
        <v>2231</v>
      </c>
      <c r="M185" s="26"/>
    </row>
    <row r="186" spans="1:13">
      <c r="A186" s="19">
        <v>185</v>
      </c>
      <c r="B186" s="19"/>
      <c r="C186" s="19"/>
      <c r="D186" s="19"/>
      <c r="E186" s="17" t="s">
        <v>882</v>
      </c>
      <c r="F186" s="17" t="s">
        <v>2078</v>
      </c>
      <c r="G186" s="17" t="s">
        <v>394</v>
      </c>
      <c r="H186" s="18">
        <v>40496.46</v>
      </c>
      <c r="I186" s="18">
        <v>7.0889998780100001</v>
      </c>
      <c r="J186" s="18">
        <v>287079.40000000002</v>
      </c>
      <c r="K186" s="17" t="s">
        <v>2039</v>
      </c>
      <c r="L186" s="23" t="s">
        <v>2232</v>
      </c>
      <c r="M186" s="26"/>
    </row>
    <row r="187" spans="1:13">
      <c r="A187" s="19">
        <v>186</v>
      </c>
      <c r="B187" s="19"/>
      <c r="C187" s="19"/>
      <c r="D187" s="19"/>
      <c r="E187" s="17" t="s">
        <v>1549</v>
      </c>
      <c r="F187" s="17" t="s">
        <v>2078</v>
      </c>
      <c r="G187" s="17" t="s">
        <v>394</v>
      </c>
      <c r="H187" s="18">
        <v>14469.33</v>
      </c>
      <c r="I187" s="18">
        <v>7.08870002964</v>
      </c>
      <c r="J187" s="18">
        <v>102568.74</v>
      </c>
      <c r="K187" s="17" t="s">
        <v>2039</v>
      </c>
      <c r="L187" s="23" t="s">
        <v>2233</v>
      </c>
      <c r="M187" s="24"/>
    </row>
    <row r="188" spans="1:13">
      <c r="A188" s="19">
        <v>187</v>
      </c>
      <c r="B188" s="19"/>
      <c r="C188" s="19"/>
      <c r="D188" s="19"/>
      <c r="E188" s="17" t="s">
        <v>1549</v>
      </c>
      <c r="F188" s="17" t="s">
        <v>2078</v>
      </c>
      <c r="G188" s="17" t="s">
        <v>394</v>
      </c>
      <c r="H188" s="18">
        <v>13710.03</v>
      </c>
      <c r="I188" s="18">
        <v>7.0889998052500003</v>
      </c>
      <c r="J188" s="18">
        <v>97190.399999999994</v>
      </c>
      <c r="K188" s="17" t="s">
        <v>2039</v>
      </c>
      <c r="L188" s="23" t="s">
        <v>2233</v>
      </c>
      <c r="M188" s="24"/>
    </row>
    <row r="189" spans="1:13">
      <c r="A189" s="19">
        <v>188</v>
      </c>
      <c r="B189" s="19"/>
      <c r="C189" s="19"/>
      <c r="D189" s="19"/>
      <c r="E189" s="17" t="s">
        <v>1549</v>
      </c>
      <c r="F189" s="17" t="s">
        <v>2078</v>
      </c>
      <c r="G189" s="17" t="s">
        <v>394</v>
      </c>
      <c r="H189" s="18">
        <v>61532.73</v>
      </c>
      <c r="I189" s="18">
        <v>7.0904000196299997</v>
      </c>
      <c r="J189" s="18">
        <v>436291.67</v>
      </c>
      <c r="K189" s="17" t="s">
        <v>2039</v>
      </c>
      <c r="L189" s="23" t="s">
        <v>2233</v>
      </c>
      <c r="M189" s="24"/>
    </row>
    <row r="190" spans="1:13">
      <c r="A190" s="19">
        <v>189</v>
      </c>
      <c r="B190" s="19"/>
      <c r="C190" s="19"/>
      <c r="D190" s="19"/>
      <c r="E190" s="17" t="s">
        <v>1549</v>
      </c>
      <c r="F190" s="17" t="s">
        <v>2047</v>
      </c>
      <c r="G190" s="17" t="s">
        <v>394</v>
      </c>
      <c r="H190" s="18">
        <v>71525.42</v>
      </c>
      <c r="I190" s="18">
        <v>7.0901999596699996</v>
      </c>
      <c r="J190" s="18">
        <v>507129.53</v>
      </c>
      <c r="K190" s="17" t="s">
        <v>2039</v>
      </c>
      <c r="L190" s="23" t="s">
        <v>2156</v>
      </c>
      <c r="M190" s="24"/>
    </row>
    <row r="191" spans="1:13">
      <c r="A191" s="19">
        <v>190</v>
      </c>
      <c r="B191" s="19"/>
      <c r="C191" s="19"/>
      <c r="D191" s="19"/>
      <c r="E191" s="17" t="s">
        <v>2234</v>
      </c>
      <c r="F191" s="17" t="s">
        <v>2056</v>
      </c>
      <c r="G191" s="17" t="s">
        <v>394</v>
      </c>
      <c r="H191" s="18">
        <v>35941.14</v>
      </c>
      <c r="I191" s="18">
        <v>7.0758000441800002</v>
      </c>
      <c r="J191" s="18">
        <v>254312.32000000001</v>
      </c>
      <c r="K191" s="17" t="s">
        <v>2039</v>
      </c>
      <c r="L191" s="23" t="s">
        <v>2215</v>
      </c>
      <c r="M191" s="24"/>
    </row>
    <row r="192" spans="1:13">
      <c r="A192" s="19">
        <v>191</v>
      </c>
      <c r="B192" s="19"/>
      <c r="C192" s="19"/>
      <c r="D192" s="19"/>
      <c r="E192" s="17" t="s">
        <v>2234</v>
      </c>
      <c r="F192" s="17" t="s">
        <v>2069</v>
      </c>
      <c r="G192" s="17" t="s">
        <v>459</v>
      </c>
      <c r="H192" s="18">
        <v>213754.83</v>
      </c>
      <c r="I192" s="18">
        <v>7.0760000136599999</v>
      </c>
      <c r="J192" s="18">
        <v>1512529.18</v>
      </c>
      <c r="K192" s="17" t="s">
        <v>2039</v>
      </c>
      <c r="L192" s="23" t="s">
        <v>2235</v>
      </c>
      <c r="M192" s="24"/>
    </row>
    <row r="193" spans="1:13">
      <c r="A193" s="19">
        <v>192</v>
      </c>
      <c r="B193" s="19"/>
      <c r="C193" s="19"/>
      <c r="D193" s="19"/>
      <c r="E193" s="17" t="s">
        <v>929</v>
      </c>
      <c r="F193" s="17" t="s">
        <v>2097</v>
      </c>
      <c r="G193" s="17" t="s">
        <v>394</v>
      </c>
      <c r="H193" s="18">
        <v>200035.95</v>
      </c>
      <c r="I193" s="18">
        <v>7.0631999898000002</v>
      </c>
      <c r="J193" s="18">
        <v>1412893.92</v>
      </c>
      <c r="K193" s="17" t="s">
        <v>2039</v>
      </c>
      <c r="L193" s="23" t="s">
        <v>2233</v>
      </c>
      <c r="M193" s="24"/>
    </row>
    <row r="194" spans="1:13">
      <c r="A194" s="19">
        <v>193</v>
      </c>
      <c r="B194" s="19"/>
      <c r="C194" s="19"/>
      <c r="D194" s="19"/>
      <c r="E194" s="17" t="s">
        <v>929</v>
      </c>
      <c r="F194" s="17" t="s">
        <v>2041</v>
      </c>
      <c r="G194" s="17" t="s">
        <v>453</v>
      </c>
      <c r="H194" s="18">
        <v>37114.19</v>
      </c>
      <c r="I194" s="18">
        <v>7.0632000860000002</v>
      </c>
      <c r="J194" s="18">
        <v>262144.95</v>
      </c>
      <c r="K194" s="17" t="s">
        <v>2039</v>
      </c>
      <c r="L194" s="23" t="s">
        <v>2236</v>
      </c>
      <c r="M194" s="24"/>
    </row>
    <row r="195" spans="1:13">
      <c r="A195" s="19">
        <v>194</v>
      </c>
      <c r="B195" s="19"/>
      <c r="C195" s="19"/>
      <c r="D195" s="19"/>
      <c r="E195" s="17" t="s">
        <v>929</v>
      </c>
      <c r="F195" s="17" t="s">
        <v>2049</v>
      </c>
      <c r="G195" s="17" t="s">
        <v>394</v>
      </c>
      <c r="H195" s="18">
        <v>8400</v>
      </c>
      <c r="I195" s="18">
        <v>7.0632000000000001</v>
      </c>
      <c r="J195" s="18">
        <v>59330.879999999997</v>
      </c>
      <c r="K195" s="17" t="s">
        <v>2039</v>
      </c>
      <c r="L195" s="23" t="s">
        <v>2237</v>
      </c>
      <c r="M195" s="24"/>
    </row>
    <row r="196" spans="1:13">
      <c r="A196" s="19">
        <v>195</v>
      </c>
      <c r="B196" s="19"/>
      <c r="C196" s="19"/>
      <c r="D196" s="19"/>
      <c r="E196" s="17" t="s">
        <v>929</v>
      </c>
      <c r="F196" s="17" t="s">
        <v>2067</v>
      </c>
      <c r="G196" s="17" t="s">
        <v>575</v>
      </c>
      <c r="H196" s="18">
        <v>6700</v>
      </c>
      <c r="I196" s="18">
        <v>7.0666000000000002</v>
      </c>
      <c r="J196" s="18">
        <v>47346.22</v>
      </c>
      <c r="K196" s="17" t="s">
        <v>2039</v>
      </c>
      <c r="L196" s="23" t="s">
        <v>2178</v>
      </c>
      <c r="M196" s="24"/>
    </row>
    <row r="197" spans="1:13">
      <c r="A197" s="19">
        <v>196</v>
      </c>
      <c r="B197" s="19"/>
      <c r="C197" s="19"/>
      <c r="D197" s="19"/>
      <c r="E197" s="17" t="s">
        <v>929</v>
      </c>
      <c r="F197" s="17" t="s">
        <v>2078</v>
      </c>
      <c r="G197" s="17" t="s">
        <v>394</v>
      </c>
      <c r="H197" s="18">
        <v>63149.04</v>
      </c>
      <c r="I197" s="18">
        <v>7.06660006232</v>
      </c>
      <c r="J197" s="18">
        <v>446249.01</v>
      </c>
      <c r="K197" s="17" t="s">
        <v>2039</v>
      </c>
      <c r="L197" s="23" t="s">
        <v>2233</v>
      </c>
      <c r="M197" s="24"/>
    </row>
    <row r="198" spans="1:13">
      <c r="A198" s="19">
        <v>197</v>
      </c>
      <c r="B198" s="19"/>
      <c r="C198" s="19"/>
      <c r="D198" s="19"/>
      <c r="E198" s="17" t="s">
        <v>929</v>
      </c>
      <c r="F198" s="17" t="s">
        <v>2078</v>
      </c>
      <c r="G198" s="17" t="s">
        <v>394</v>
      </c>
      <c r="H198" s="18">
        <v>15792.64</v>
      </c>
      <c r="I198" s="18">
        <v>7.0666000111400002</v>
      </c>
      <c r="J198" s="18">
        <v>111600.27</v>
      </c>
      <c r="K198" s="17" t="s">
        <v>2039</v>
      </c>
      <c r="L198" s="23" t="s">
        <v>2233</v>
      </c>
      <c r="M198" s="24"/>
    </row>
    <row r="199" spans="1:13">
      <c r="A199" s="19">
        <v>198</v>
      </c>
      <c r="B199" s="19"/>
      <c r="C199" s="19"/>
      <c r="D199" s="19"/>
      <c r="E199" s="17" t="s">
        <v>929</v>
      </c>
      <c r="F199" s="17" t="s">
        <v>2071</v>
      </c>
      <c r="G199" s="17" t="s">
        <v>453</v>
      </c>
      <c r="H199" s="18">
        <v>19966.23</v>
      </c>
      <c r="I199" s="18">
        <v>7.06659995402</v>
      </c>
      <c r="J199" s="18">
        <v>141093.35999999999</v>
      </c>
      <c r="K199" s="17" t="s">
        <v>2039</v>
      </c>
      <c r="L199" s="23" t="s">
        <v>2238</v>
      </c>
      <c r="M199" s="24"/>
    </row>
    <row r="200" spans="1:13">
      <c r="A200" s="19">
        <v>199</v>
      </c>
      <c r="B200" s="19"/>
      <c r="C200" s="19"/>
      <c r="D200" s="19"/>
      <c r="E200" s="17" t="s">
        <v>1552</v>
      </c>
      <c r="F200" s="17" t="s">
        <v>2097</v>
      </c>
      <c r="G200" s="17" t="s">
        <v>394</v>
      </c>
      <c r="H200" s="18">
        <v>301478.49</v>
      </c>
      <c r="I200" s="18">
        <v>7.0602999902199999</v>
      </c>
      <c r="J200" s="18">
        <v>2128528.58</v>
      </c>
      <c r="K200" s="17" t="s">
        <v>2039</v>
      </c>
      <c r="L200" s="23" t="s">
        <v>2239</v>
      </c>
      <c r="M200" s="24"/>
    </row>
    <row r="201" spans="1:13">
      <c r="A201" s="19">
        <v>200</v>
      </c>
      <c r="B201" s="19"/>
      <c r="C201" s="19"/>
      <c r="D201" s="19"/>
      <c r="E201" s="17" t="s">
        <v>1552</v>
      </c>
      <c r="F201" s="17" t="s">
        <v>2065</v>
      </c>
      <c r="G201" s="17" t="s">
        <v>394</v>
      </c>
      <c r="H201" s="18">
        <v>44025.63</v>
      </c>
      <c r="I201" s="18">
        <v>7.0603001024600003</v>
      </c>
      <c r="J201" s="18">
        <v>310834.15999999997</v>
      </c>
      <c r="K201" s="17" t="s">
        <v>2039</v>
      </c>
      <c r="L201" s="23" t="s">
        <v>2240</v>
      </c>
      <c r="M201" s="24"/>
    </row>
    <row r="202" spans="1:13">
      <c r="A202" s="19">
        <v>201</v>
      </c>
      <c r="B202" s="19"/>
      <c r="C202" s="19"/>
      <c r="D202" s="19"/>
      <c r="E202" s="17" t="s">
        <v>828</v>
      </c>
      <c r="F202" s="17" t="s">
        <v>2047</v>
      </c>
      <c r="G202" s="17" t="s">
        <v>394</v>
      </c>
      <c r="H202" s="18">
        <v>84591.65</v>
      </c>
      <c r="I202" s="18">
        <v>7.0501999901800003</v>
      </c>
      <c r="J202" s="18">
        <v>596388.05000000005</v>
      </c>
      <c r="K202" s="17" t="s">
        <v>2039</v>
      </c>
      <c r="L202" s="23" t="s">
        <v>2156</v>
      </c>
      <c r="M202" s="24"/>
    </row>
    <row r="203" spans="1:13">
      <c r="A203" s="19">
        <v>202</v>
      </c>
      <c r="B203" s="19"/>
      <c r="C203" s="19"/>
      <c r="D203" s="19"/>
      <c r="E203" s="17" t="s">
        <v>828</v>
      </c>
      <c r="F203" s="17" t="s">
        <v>2061</v>
      </c>
      <c r="G203" s="17" t="s">
        <v>453</v>
      </c>
      <c r="H203" s="18">
        <v>59544</v>
      </c>
      <c r="I203" s="18">
        <v>7.0502000201500001</v>
      </c>
      <c r="J203" s="18">
        <v>419797.11</v>
      </c>
      <c r="K203" s="17" t="s">
        <v>2039</v>
      </c>
      <c r="L203" s="23" t="s">
        <v>2241</v>
      </c>
      <c r="M203" s="24"/>
    </row>
    <row r="204" spans="1:13">
      <c r="A204" s="19">
        <v>203</v>
      </c>
      <c r="B204" s="19"/>
      <c r="C204" s="19"/>
      <c r="D204" s="19"/>
      <c r="E204" s="17" t="s">
        <v>2242</v>
      </c>
      <c r="F204" s="17" t="s">
        <v>2051</v>
      </c>
      <c r="G204" s="17" t="s">
        <v>690</v>
      </c>
      <c r="H204" s="18">
        <v>75250.490000000005</v>
      </c>
      <c r="I204" s="18">
        <v>7.0538999812399998</v>
      </c>
      <c r="J204" s="18">
        <v>530809.43000000005</v>
      </c>
      <c r="K204" s="17" t="s">
        <v>2039</v>
      </c>
      <c r="L204" s="23" t="s">
        <v>2243</v>
      </c>
      <c r="M204" s="24"/>
    </row>
    <row r="205" spans="1:13">
      <c r="A205" s="19">
        <v>204</v>
      </c>
      <c r="B205" s="19"/>
      <c r="C205" s="19"/>
      <c r="D205" s="19"/>
      <c r="E205" s="17" t="s">
        <v>2242</v>
      </c>
      <c r="F205" s="17" t="s">
        <v>2112</v>
      </c>
      <c r="G205" s="17" t="s">
        <v>394</v>
      </c>
      <c r="H205" s="18">
        <v>9980</v>
      </c>
      <c r="I205" s="18">
        <v>7.0538997995899999</v>
      </c>
      <c r="J205" s="18">
        <v>70397.919999999998</v>
      </c>
      <c r="K205" s="17" t="s">
        <v>2039</v>
      </c>
      <c r="L205" s="23" t="s">
        <v>2244</v>
      </c>
      <c r="M205" s="24"/>
    </row>
    <row r="206" spans="1:13">
      <c r="A206" s="19">
        <v>205</v>
      </c>
      <c r="B206" s="19"/>
      <c r="C206" s="19"/>
      <c r="D206" s="19"/>
      <c r="E206" s="17" t="s">
        <v>2242</v>
      </c>
      <c r="F206" s="17" t="s">
        <v>2071</v>
      </c>
      <c r="G206" s="17" t="s">
        <v>453</v>
      </c>
      <c r="H206" s="18">
        <v>39966.230000000003</v>
      </c>
      <c r="I206" s="18">
        <v>7.0496999591899998</v>
      </c>
      <c r="J206" s="18">
        <v>281749.93</v>
      </c>
      <c r="K206" s="17" t="s">
        <v>2039</v>
      </c>
      <c r="L206" s="23" t="s">
        <v>2245</v>
      </c>
      <c r="M206" s="24"/>
    </row>
    <row r="207" spans="1:13">
      <c r="A207" s="19">
        <v>206</v>
      </c>
      <c r="B207" s="19"/>
      <c r="C207" s="19"/>
      <c r="D207" s="19"/>
      <c r="E207" s="17" t="s">
        <v>2242</v>
      </c>
      <c r="F207" s="17" t="s">
        <v>2246</v>
      </c>
      <c r="G207" s="17" t="s">
        <v>394</v>
      </c>
      <c r="H207" s="18">
        <v>4980</v>
      </c>
      <c r="I207" s="18">
        <v>7.04070080321</v>
      </c>
      <c r="J207" s="18">
        <v>35062.69</v>
      </c>
      <c r="K207" s="17" t="s">
        <v>2126</v>
      </c>
      <c r="L207" s="23" t="s">
        <v>2247</v>
      </c>
      <c r="M207" s="24"/>
    </row>
    <row r="208" spans="1:13">
      <c r="A208" s="19">
        <v>207</v>
      </c>
      <c r="B208" s="19"/>
      <c r="C208" s="19"/>
      <c r="D208" s="19"/>
      <c r="E208" s="17" t="s">
        <v>1613</v>
      </c>
      <c r="F208" s="17" t="s">
        <v>2078</v>
      </c>
      <c r="G208" s="17" t="s">
        <v>394</v>
      </c>
      <c r="H208" s="18">
        <v>17489</v>
      </c>
      <c r="I208" s="18">
        <v>7.0377134198600002</v>
      </c>
      <c r="J208" s="18">
        <v>123082.57</v>
      </c>
      <c r="K208" s="17" t="s">
        <v>2039</v>
      </c>
      <c r="L208" s="23" t="s">
        <v>2248</v>
      </c>
      <c r="M208" s="24"/>
    </row>
    <row r="209" spans="1:13">
      <c r="A209" s="19">
        <v>208</v>
      </c>
      <c r="B209" s="19"/>
      <c r="C209" s="19"/>
      <c r="D209" s="19"/>
      <c r="E209" s="17" t="s">
        <v>1613</v>
      </c>
      <c r="F209" s="17" t="s">
        <v>2061</v>
      </c>
      <c r="G209" s="17" t="s">
        <v>453</v>
      </c>
      <c r="H209" s="18">
        <v>79189.679999999993</v>
      </c>
      <c r="I209" s="18">
        <v>7.0374999621100001</v>
      </c>
      <c r="J209" s="18">
        <v>557297.37</v>
      </c>
      <c r="K209" s="17" t="s">
        <v>2039</v>
      </c>
      <c r="L209" s="23" t="s">
        <v>2249</v>
      </c>
      <c r="M209" s="24"/>
    </row>
    <row r="210" spans="1:13">
      <c r="A210" s="19">
        <v>209</v>
      </c>
      <c r="B210" s="19"/>
      <c r="C210" s="19"/>
      <c r="D210" s="19"/>
      <c r="E210" s="17" t="s">
        <v>953</v>
      </c>
      <c r="F210" s="17" t="s">
        <v>2078</v>
      </c>
      <c r="G210" s="17" t="s">
        <v>394</v>
      </c>
      <c r="H210" s="18">
        <v>32299.25</v>
      </c>
      <c r="I210" s="18">
        <v>7.01770010139</v>
      </c>
      <c r="J210" s="18">
        <v>226666.45</v>
      </c>
      <c r="K210" s="17" t="s">
        <v>2039</v>
      </c>
      <c r="L210" s="23" t="s">
        <v>2250</v>
      </c>
      <c r="M210" s="24"/>
    </row>
    <row r="211" spans="1:13">
      <c r="A211" s="19">
        <v>210</v>
      </c>
      <c r="B211" s="19"/>
      <c r="C211" s="19"/>
      <c r="D211" s="19"/>
      <c r="E211" s="17" t="s">
        <v>953</v>
      </c>
      <c r="F211" s="17" t="s">
        <v>2061</v>
      </c>
      <c r="G211" s="17" t="s">
        <v>453</v>
      </c>
      <c r="H211" s="18">
        <v>39091.54</v>
      </c>
      <c r="I211" s="18">
        <v>7.0176999933999999</v>
      </c>
      <c r="J211" s="18">
        <v>274332.7</v>
      </c>
      <c r="K211" s="17" t="s">
        <v>2039</v>
      </c>
      <c r="L211" s="23" t="s">
        <v>2251</v>
      </c>
      <c r="M211" s="24"/>
    </row>
    <row r="212" spans="1:13">
      <c r="A212" s="19">
        <v>211</v>
      </c>
      <c r="B212" s="19"/>
      <c r="C212" s="19"/>
      <c r="D212" s="19"/>
      <c r="E212" s="17" t="s">
        <v>953</v>
      </c>
      <c r="F212" s="17" t="s">
        <v>2047</v>
      </c>
      <c r="G212" s="17" t="s">
        <v>394</v>
      </c>
      <c r="H212" s="18">
        <v>189944.16</v>
      </c>
      <c r="I212" s="18">
        <v>7.0176999913999998</v>
      </c>
      <c r="J212" s="18">
        <v>1332971.1299999999</v>
      </c>
      <c r="K212" s="17" t="s">
        <v>2039</v>
      </c>
      <c r="L212" s="23" t="s">
        <v>2252</v>
      </c>
      <c r="M212" s="24"/>
    </row>
    <row r="213" spans="1:13">
      <c r="A213" s="19">
        <v>212</v>
      </c>
      <c r="B213" s="19"/>
      <c r="C213" s="19"/>
      <c r="D213" s="19"/>
      <c r="E213" s="17" t="s">
        <v>953</v>
      </c>
      <c r="F213" s="17" t="s">
        <v>2078</v>
      </c>
      <c r="G213" s="17" t="s">
        <v>394</v>
      </c>
      <c r="H213" s="18">
        <v>16325.8</v>
      </c>
      <c r="I213" s="18">
        <v>7.0177002045799997</v>
      </c>
      <c r="J213" s="18">
        <v>114569.57</v>
      </c>
      <c r="K213" s="17" t="s">
        <v>2039</v>
      </c>
      <c r="L213" s="23" t="s">
        <v>2250</v>
      </c>
      <c r="M213" s="24"/>
    </row>
    <row r="214" spans="1:13">
      <c r="A214" s="19">
        <v>213</v>
      </c>
      <c r="B214" s="19"/>
      <c r="C214" s="19"/>
      <c r="D214" s="19"/>
      <c r="E214" s="17" t="s">
        <v>953</v>
      </c>
      <c r="F214" s="17" t="s">
        <v>2078</v>
      </c>
      <c r="G214" s="17" t="s">
        <v>394</v>
      </c>
      <c r="H214" s="18">
        <v>13953.46</v>
      </c>
      <c r="I214" s="18">
        <v>7.0170000084559998</v>
      </c>
      <c r="J214" s="18">
        <v>97911.43</v>
      </c>
      <c r="K214" s="17" t="s">
        <v>2039</v>
      </c>
      <c r="L214" s="23" t="s">
        <v>2253</v>
      </c>
      <c r="M214" s="24"/>
    </row>
    <row r="215" spans="1:13">
      <c r="A215" s="19">
        <v>214</v>
      </c>
      <c r="B215" s="19"/>
      <c r="C215" s="19"/>
      <c r="D215" s="19"/>
      <c r="E215" s="17" t="s">
        <v>953</v>
      </c>
      <c r="F215" s="17" t="s">
        <v>2078</v>
      </c>
      <c r="G215" s="17" t="s">
        <v>394</v>
      </c>
      <c r="H215" s="18">
        <v>13369.77</v>
      </c>
      <c r="I215" s="18">
        <v>7.0170002924499997</v>
      </c>
      <c r="J215" s="18">
        <v>93815.679999999993</v>
      </c>
      <c r="K215" s="17" t="s">
        <v>2039</v>
      </c>
      <c r="L215" s="23" t="s">
        <v>2253</v>
      </c>
      <c r="M215" s="24"/>
    </row>
    <row r="216" spans="1:13">
      <c r="A216" s="19">
        <v>215</v>
      </c>
      <c r="B216" s="19"/>
      <c r="C216" s="19"/>
      <c r="D216" s="19"/>
      <c r="E216" s="17" t="s">
        <v>953</v>
      </c>
      <c r="F216" s="17" t="s">
        <v>2078</v>
      </c>
      <c r="G216" s="17" t="s">
        <v>394</v>
      </c>
      <c r="H216" s="18">
        <v>14656.73</v>
      </c>
      <c r="I216" s="18">
        <v>7.0169996991100003</v>
      </c>
      <c r="J216" s="18">
        <v>102846.27</v>
      </c>
      <c r="K216" s="17" t="s">
        <v>2039</v>
      </c>
      <c r="L216" s="23" t="s">
        <v>2253</v>
      </c>
      <c r="M216" s="24"/>
    </row>
    <row r="217" spans="1:13">
      <c r="A217" s="19">
        <v>216</v>
      </c>
      <c r="B217" s="19"/>
      <c r="C217" s="19"/>
      <c r="D217" s="19"/>
      <c r="E217" s="17" t="s">
        <v>2254</v>
      </c>
      <c r="F217" s="17" t="s">
        <v>2056</v>
      </c>
      <c r="G217" s="17" t="s">
        <v>394</v>
      </c>
      <c r="H217" s="18">
        <v>17707.080000000002</v>
      </c>
      <c r="I217" s="18">
        <v>7.0038001748400003</v>
      </c>
      <c r="J217" s="18">
        <v>124016.85</v>
      </c>
      <c r="K217" s="17" t="s">
        <v>2039</v>
      </c>
      <c r="L217" s="23" t="s">
        <v>2255</v>
      </c>
      <c r="M217" s="24"/>
    </row>
    <row r="218" spans="1:13">
      <c r="A218" s="19">
        <v>217</v>
      </c>
      <c r="B218" s="19"/>
      <c r="C218" s="19"/>
      <c r="D218" s="19"/>
      <c r="E218" s="17" t="s">
        <v>1455</v>
      </c>
      <c r="F218" s="17" t="s">
        <v>2097</v>
      </c>
      <c r="G218" s="17" t="s">
        <v>394</v>
      </c>
      <c r="H218" s="18">
        <v>32729.25</v>
      </c>
      <c r="I218" s="18">
        <v>6.9955000496400004</v>
      </c>
      <c r="J218" s="18">
        <v>228957.47</v>
      </c>
      <c r="K218" s="17" t="s">
        <v>2039</v>
      </c>
      <c r="L218" s="23" t="s">
        <v>2256</v>
      </c>
      <c r="M218" s="24"/>
    </row>
    <row r="219" spans="1:13">
      <c r="A219" s="19">
        <v>218</v>
      </c>
      <c r="B219" s="19"/>
      <c r="C219" s="19"/>
      <c r="D219" s="19"/>
      <c r="E219" s="17" t="s">
        <v>1455</v>
      </c>
      <c r="F219" s="17" t="s">
        <v>2041</v>
      </c>
      <c r="G219" s="17" t="s">
        <v>453</v>
      </c>
      <c r="H219" s="18">
        <v>39546.639999999999</v>
      </c>
      <c r="I219" s="18">
        <v>6.9961000479399997</v>
      </c>
      <c r="J219" s="18">
        <v>276672.25</v>
      </c>
      <c r="K219" s="17" t="s">
        <v>2039</v>
      </c>
      <c r="L219" s="23" t="s">
        <v>2257</v>
      </c>
      <c r="M219" s="24"/>
    </row>
    <row r="220" spans="1:13">
      <c r="A220" s="19">
        <v>219</v>
      </c>
      <c r="B220" s="19"/>
      <c r="C220" s="19"/>
      <c r="D220" s="19"/>
      <c r="E220" s="17" t="s">
        <v>1455</v>
      </c>
      <c r="F220" s="17" t="s">
        <v>2078</v>
      </c>
      <c r="G220" s="17" t="s">
        <v>394</v>
      </c>
      <c r="H220" s="18">
        <v>75700.23</v>
      </c>
      <c r="I220" s="18">
        <v>6.9955000136700001</v>
      </c>
      <c r="J220" s="18">
        <v>529560.96</v>
      </c>
      <c r="K220" s="17" t="s">
        <v>2039</v>
      </c>
      <c r="L220" s="23" t="s">
        <v>2258</v>
      </c>
      <c r="M220" s="24"/>
    </row>
    <row r="221" spans="1:13">
      <c r="A221" s="19">
        <v>220</v>
      </c>
      <c r="B221" s="19"/>
      <c r="C221" s="19"/>
      <c r="D221" s="19"/>
      <c r="E221" s="17" t="s">
        <v>1455</v>
      </c>
      <c r="F221" s="17" t="s">
        <v>2078</v>
      </c>
      <c r="G221" s="17" t="s">
        <v>394</v>
      </c>
      <c r="H221" s="18">
        <v>14889.78</v>
      </c>
      <c r="I221" s="18">
        <v>6.9949999261200002</v>
      </c>
      <c r="J221" s="18">
        <v>104154.01</v>
      </c>
      <c r="K221" s="17" t="s">
        <v>2039</v>
      </c>
      <c r="L221" s="23" t="s">
        <v>2259</v>
      </c>
      <c r="M221" s="24"/>
    </row>
    <row r="222" spans="1:13">
      <c r="A222" s="19">
        <v>221</v>
      </c>
      <c r="B222" s="19"/>
      <c r="C222" s="19"/>
      <c r="D222" s="19"/>
      <c r="E222" s="17" t="s">
        <v>1455</v>
      </c>
      <c r="F222" s="17" t="s">
        <v>2078</v>
      </c>
      <c r="G222" s="17" t="s">
        <v>394</v>
      </c>
      <c r="H222" s="18">
        <v>58383.96</v>
      </c>
      <c r="I222" s="18">
        <v>6.9954999626600003</v>
      </c>
      <c r="J222" s="18">
        <v>408424.99</v>
      </c>
      <c r="K222" s="17" t="s">
        <v>2039</v>
      </c>
      <c r="L222" s="23" t="s">
        <v>2259</v>
      </c>
      <c r="M222" s="24"/>
    </row>
    <row r="223" spans="1:13">
      <c r="A223" s="19">
        <v>222</v>
      </c>
      <c r="B223" s="19"/>
      <c r="C223" s="19"/>
      <c r="D223" s="19"/>
      <c r="E223" s="17" t="s">
        <v>1455</v>
      </c>
      <c r="F223" s="17" t="s">
        <v>2078</v>
      </c>
      <c r="G223" s="17" t="s">
        <v>394</v>
      </c>
      <c r="H223" s="18">
        <v>14688.02</v>
      </c>
      <c r="I223" s="18">
        <v>6.9950000067999998</v>
      </c>
      <c r="J223" s="18">
        <v>102742.7</v>
      </c>
      <c r="K223" s="17" t="s">
        <v>2039</v>
      </c>
      <c r="L223" s="23" t="s">
        <v>2259</v>
      </c>
      <c r="M223" s="24"/>
    </row>
    <row r="224" spans="1:13">
      <c r="A224" s="19">
        <v>223</v>
      </c>
      <c r="B224" s="19"/>
      <c r="C224" s="19"/>
      <c r="D224" s="19"/>
      <c r="E224" s="17" t="s">
        <v>2260</v>
      </c>
      <c r="F224" s="17" t="s">
        <v>2067</v>
      </c>
      <c r="G224" s="17" t="s">
        <v>575</v>
      </c>
      <c r="H224" s="18">
        <v>14757.61</v>
      </c>
      <c r="I224" s="18">
        <v>7.0086999182099996</v>
      </c>
      <c r="J224" s="18">
        <v>103431.66</v>
      </c>
      <c r="K224" s="17" t="s">
        <v>2039</v>
      </c>
      <c r="L224" s="23" t="s">
        <v>2178</v>
      </c>
      <c r="M224" s="24"/>
    </row>
    <row r="225" spans="1:13">
      <c r="A225" s="19">
        <v>224</v>
      </c>
      <c r="B225" s="19"/>
      <c r="C225" s="19"/>
      <c r="D225" s="19"/>
      <c r="E225" s="17" t="s">
        <v>2260</v>
      </c>
      <c r="F225" s="17" t="s">
        <v>2089</v>
      </c>
      <c r="G225" s="17" t="s">
        <v>394</v>
      </c>
      <c r="H225" s="18">
        <v>16193.16</v>
      </c>
      <c r="I225" s="18">
        <v>7.0086999696100003</v>
      </c>
      <c r="J225" s="18">
        <v>113493</v>
      </c>
      <c r="K225" s="17" t="s">
        <v>2039</v>
      </c>
      <c r="L225" s="23" t="s">
        <v>2225</v>
      </c>
      <c r="M225" s="24"/>
    </row>
    <row r="226" spans="1:13">
      <c r="A226" s="19">
        <v>225</v>
      </c>
      <c r="B226" s="19"/>
      <c r="C226" s="19"/>
      <c r="D226" s="19"/>
      <c r="E226" s="17" t="s">
        <v>2260</v>
      </c>
      <c r="F226" s="17" t="s">
        <v>2167</v>
      </c>
      <c r="G226" s="17" t="s">
        <v>394</v>
      </c>
      <c r="H226" s="18">
        <v>21959.11</v>
      </c>
      <c r="I226" s="18">
        <v>7.0086998061300001</v>
      </c>
      <c r="J226" s="18">
        <v>153904.81</v>
      </c>
      <c r="K226" s="17" t="s">
        <v>2039</v>
      </c>
      <c r="L226" s="23" t="s">
        <v>2261</v>
      </c>
      <c r="M226" s="24"/>
    </row>
    <row r="227" spans="1:13">
      <c r="A227" s="19">
        <v>226</v>
      </c>
      <c r="B227" s="19"/>
      <c r="C227" s="19"/>
      <c r="D227" s="19"/>
      <c r="E227" s="17" t="s">
        <v>1565</v>
      </c>
      <c r="F227" s="17" t="s">
        <v>2054</v>
      </c>
      <c r="G227" s="17" t="s">
        <v>453</v>
      </c>
      <c r="H227" s="18">
        <v>20155.37</v>
      </c>
      <c r="I227" s="18">
        <v>6.97790018243</v>
      </c>
      <c r="J227" s="18">
        <v>140642.16</v>
      </c>
      <c r="K227" s="17" t="s">
        <v>2039</v>
      </c>
      <c r="L227" s="23" t="s">
        <v>2262</v>
      </c>
      <c r="M227" s="24"/>
    </row>
    <row r="228" spans="1:13">
      <c r="A228" s="19">
        <v>227</v>
      </c>
      <c r="B228" s="19"/>
      <c r="C228" s="19"/>
      <c r="D228" s="19"/>
      <c r="E228" s="17" t="s">
        <v>1565</v>
      </c>
      <c r="F228" s="17" t="s">
        <v>2069</v>
      </c>
      <c r="G228" s="17" t="s">
        <v>459</v>
      </c>
      <c r="H228" s="18">
        <v>5593.19</v>
      </c>
      <c r="I228" s="18">
        <v>6.9778999104199997</v>
      </c>
      <c r="J228" s="18">
        <v>39028.720000000001</v>
      </c>
      <c r="K228" s="17" t="s">
        <v>2039</v>
      </c>
      <c r="L228" s="23" t="s">
        <v>2263</v>
      </c>
      <c r="M228" s="24"/>
    </row>
    <row r="229" spans="1:13">
      <c r="A229" s="19">
        <v>228</v>
      </c>
      <c r="B229" s="19"/>
      <c r="C229" s="19"/>
      <c r="D229" s="19"/>
      <c r="E229" s="17" t="s">
        <v>2264</v>
      </c>
      <c r="F229" s="17" t="s">
        <v>2167</v>
      </c>
      <c r="G229" s="17" t="s">
        <v>394</v>
      </c>
      <c r="H229" s="18">
        <v>19434.79</v>
      </c>
      <c r="I229" s="18">
        <v>7.0020000216099998</v>
      </c>
      <c r="J229" s="18">
        <v>136082.4</v>
      </c>
      <c r="K229" s="17" t="s">
        <v>2039</v>
      </c>
      <c r="L229" s="23" t="s">
        <v>2265</v>
      </c>
      <c r="M229" s="24"/>
    </row>
    <row r="230" spans="1:13">
      <c r="A230" s="19">
        <v>229</v>
      </c>
      <c r="B230" s="19"/>
      <c r="C230" s="19"/>
      <c r="D230" s="19"/>
      <c r="E230" s="17" t="s">
        <v>859</v>
      </c>
      <c r="F230" s="17" t="s">
        <v>2246</v>
      </c>
      <c r="G230" s="17" t="s">
        <v>394</v>
      </c>
      <c r="H230" s="18">
        <v>11345.6</v>
      </c>
      <c r="I230" s="18">
        <v>6.9918003454999997</v>
      </c>
      <c r="J230" s="18">
        <v>79326.17</v>
      </c>
      <c r="K230" s="17" t="s">
        <v>2126</v>
      </c>
      <c r="L230" s="23" t="s">
        <v>2266</v>
      </c>
      <c r="M230" s="24"/>
    </row>
    <row r="231" spans="1:13">
      <c r="A231" s="19">
        <v>230</v>
      </c>
      <c r="B231" s="19"/>
      <c r="C231" s="19"/>
      <c r="D231" s="19"/>
      <c r="E231" s="17" t="s">
        <v>859</v>
      </c>
      <c r="F231" s="17" t="s">
        <v>2246</v>
      </c>
      <c r="G231" s="17" t="s">
        <v>394</v>
      </c>
      <c r="H231" s="18">
        <v>3980</v>
      </c>
      <c r="I231" s="18">
        <v>6.9897989949700001</v>
      </c>
      <c r="J231" s="18">
        <v>27819.4</v>
      </c>
      <c r="K231" s="17" t="s">
        <v>2126</v>
      </c>
      <c r="L231" s="23" t="s">
        <v>2267</v>
      </c>
      <c r="M231" s="24"/>
    </row>
    <row r="232" spans="1:13">
      <c r="A232" s="19">
        <v>231</v>
      </c>
      <c r="B232" s="19"/>
      <c r="C232" s="19"/>
      <c r="D232" s="19"/>
      <c r="E232" s="17" t="s">
        <v>859</v>
      </c>
      <c r="F232" s="17" t="s">
        <v>2041</v>
      </c>
      <c r="G232" s="17" t="s">
        <v>453</v>
      </c>
      <c r="H232" s="18">
        <v>36902.620000000003</v>
      </c>
      <c r="I232" s="18">
        <v>7.0132998686799999</v>
      </c>
      <c r="J232" s="18">
        <v>258809.14</v>
      </c>
      <c r="K232" s="17" t="s">
        <v>2039</v>
      </c>
      <c r="L232" s="23" t="s">
        <v>2268</v>
      </c>
      <c r="M232" s="24"/>
    </row>
    <row r="233" spans="1:13">
      <c r="A233" s="19">
        <v>232</v>
      </c>
      <c r="B233" s="19"/>
      <c r="C233" s="19"/>
      <c r="D233" s="19"/>
      <c r="E233" s="17" t="s">
        <v>859</v>
      </c>
      <c r="F233" s="17" t="s">
        <v>2051</v>
      </c>
      <c r="G233" s="17" t="s">
        <v>690</v>
      </c>
      <c r="H233" s="18">
        <v>75396.44</v>
      </c>
      <c r="I233" s="18">
        <v>7.0128999459300001</v>
      </c>
      <c r="J233" s="18">
        <v>528747.68999999994</v>
      </c>
      <c r="K233" s="17" t="s">
        <v>2039</v>
      </c>
      <c r="L233" s="23" t="s">
        <v>2269</v>
      </c>
      <c r="M233" s="24"/>
    </row>
    <row r="234" spans="1:13">
      <c r="A234" s="19">
        <v>233</v>
      </c>
      <c r="B234" s="19"/>
      <c r="C234" s="19"/>
      <c r="D234" s="19"/>
      <c r="E234" s="17" t="s">
        <v>859</v>
      </c>
      <c r="F234" s="17" t="s">
        <v>2061</v>
      </c>
      <c r="G234" s="17" t="s">
        <v>453</v>
      </c>
      <c r="H234" s="18">
        <v>76222.73</v>
      </c>
      <c r="I234" s="18">
        <v>7.0132999697000002</v>
      </c>
      <c r="J234" s="18">
        <v>534572.87</v>
      </c>
      <c r="K234" s="17" t="s">
        <v>2039</v>
      </c>
      <c r="L234" s="23" t="s">
        <v>2270</v>
      </c>
      <c r="M234" s="24"/>
    </row>
    <row r="235" spans="1:13">
      <c r="A235" s="19">
        <v>234</v>
      </c>
      <c r="B235" s="19"/>
      <c r="C235" s="19"/>
      <c r="D235" s="19"/>
      <c r="E235" s="17" t="s">
        <v>859</v>
      </c>
      <c r="F235" s="17" t="s">
        <v>2056</v>
      </c>
      <c r="G235" s="17" t="s">
        <v>394</v>
      </c>
      <c r="H235" s="18">
        <v>18061.38</v>
      </c>
      <c r="I235" s="18">
        <v>7.0133002018599999</v>
      </c>
      <c r="J235" s="18">
        <v>126669.88</v>
      </c>
      <c r="K235" s="17" t="s">
        <v>2039</v>
      </c>
      <c r="L235" s="23" t="s">
        <v>2215</v>
      </c>
      <c r="M235" s="24"/>
    </row>
    <row r="236" spans="1:13">
      <c r="A236" s="19">
        <v>235</v>
      </c>
      <c r="B236" s="19"/>
      <c r="C236" s="19"/>
      <c r="D236" s="19"/>
      <c r="E236" s="17" t="s">
        <v>859</v>
      </c>
      <c r="F236" s="17" t="s">
        <v>2097</v>
      </c>
      <c r="G236" s="17" t="s">
        <v>394</v>
      </c>
      <c r="H236" s="18">
        <v>99394.7</v>
      </c>
      <c r="I236" s="18">
        <v>7.0130999942600001</v>
      </c>
      <c r="J236" s="18">
        <v>697064.97</v>
      </c>
      <c r="K236" s="17" t="s">
        <v>2039</v>
      </c>
      <c r="L236" s="23" t="s">
        <v>2271</v>
      </c>
      <c r="M236" s="24"/>
    </row>
    <row r="237" spans="1:13">
      <c r="A237" s="19">
        <v>236</v>
      </c>
      <c r="B237" s="19"/>
      <c r="C237" s="19"/>
      <c r="D237" s="19"/>
      <c r="E237" s="17" t="s">
        <v>859</v>
      </c>
      <c r="F237" s="17" t="s">
        <v>2078</v>
      </c>
      <c r="G237" s="17" t="s">
        <v>394</v>
      </c>
      <c r="H237" s="18">
        <v>197.6</v>
      </c>
      <c r="I237" s="18">
        <v>7.0131072874399996</v>
      </c>
      <c r="J237" s="18">
        <v>1385.79</v>
      </c>
      <c r="K237" s="17" t="s">
        <v>2039</v>
      </c>
      <c r="L237" s="23" t="s">
        <v>2250</v>
      </c>
      <c r="M237" s="24"/>
    </row>
    <row r="238" spans="1:13">
      <c r="A238" s="19">
        <v>237</v>
      </c>
      <c r="B238" s="19"/>
      <c r="C238" s="19"/>
      <c r="D238" s="19"/>
      <c r="E238" s="17" t="s">
        <v>1641</v>
      </c>
      <c r="F238" s="17" t="s">
        <v>2047</v>
      </c>
      <c r="G238" s="17" t="s">
        <v>394</v>
      </c>
      <c r="H238" s="18">
        <v>83986.94</v>
      </c>
      <c r="I238" s="18">
        <v>7.0134999560600004</v>
      </c>
      <c r="J238" s="18">
        <v>589042.4</v>
      </c>
      <c r="K238" s="17" t="s">
        <v>2039</v>
      </c>
      <c r="L238" s="23" t="s">
        <v>2272</v>
      </c>
      <c r="M238" s="24"/>
    </row>
    <row r="239" spans="1:13">
      <c r="A239" s="19">
        <v>238</v>
      </c>
      <c r="B239" s="19"/>
      <c r="C239" s="19"/>
      <c r="D239" s="19"/>
      <c r="E239" s="17" t="s">
        <v>1641</v>
      </c>
      <c r="F239" s="17" t="s">
        <v>2061</v>
      </c>
      <c r="G239" s="17" t="s">
        <v>453</v>
      </c>
      <c r="H239" s="18">
        <v>84850.82</v>
      </c>
      <c r="I239" s="18">
        <v>7.0135000463099999</v>
      </c>
      <c r="J239" s="18">
        <v>595101.23</v>
      </c>
      <c r="K239" s="17" t="s">
        <v>2039</v>
      </c>
      <c r="L239" s="23" t="s">
        <v>2273</v>
      </c>
      <c r="M239" s="24"/>
    </row>
    <row r="240" spans="1:13">
      <c r="A240" s="19">
        <v>239</v>
      </c>
      <c r="B240" s="19"/>
      <c r="C240" s="19"/>
      <c r="D240" s="19"/>
      <c r="E240" s="17" t="s">
        <v>1641</v>
      </c>
      <c r="F240" s="17" t="s">
        <v>2078</v>
      </c>
      <c r="G240" s="17" t="s">
        <v>394</v>
      </c>
      <c r="H240" s="18">
        <v>44476.86</v>
      </c>
      <c r="I240" s="18">
        <v>7.0131000704600002</v>
      </c>
      <c r="J240" s="18">
        <v>311920.67</v>
      </c>
      <c r="K240" s="17" t="s">
        <v>2039</v>
      </c>
      <c r="L240" s="23" t="s">
        <v>2274</v>
      </c>
      <c r="M240" s="24"/>
    </row>
    <row r="241" spans="1:13">
      <c r="A241" s="19">
        <v>240</v>
      </c>
      <c r="B241" s="19"/>
      <c r="C241" s="19"/>
      <c r="D241" s="19"/>
      <c r="E241" s="17" t="s">
        <v>1641</v>
      </c>
      <c r="F241" s="17" t="s">
        <v>2078</v>
      </c>
      <c r="G241" s="17" t="s">
        <v>394</v>
      </c>
      <c r="H241" s="18">
        <v>14508.36</v>
      </c>
      <c r="I241" s="18">
        <v>7.0134998028700002</v>
      </c>
      <c r="J241" s="18">
        <v>101754.38</v>
      </c>
      <c r="K241" s="17" t="s">
        <v>2039</v>
      </c>
      <c r="L241" s="23" t="s">
        <v>2274</v>
      </c>
      <c r="M241" s="24"/>
    </row>
    <row r="242" spans="1:13">
      <c r="A242" s="19">
        <v>241</v>
      </c>
      <c r="B242" s="19"/>
      <c r="C242" s="19"/>
      <c r="D242" s="19"/>
      <c r="E242" s="17" t="s">
        <v>1641</v>
      </c>
      <c r="F242" s="17" t="s">
        <v>2101</v>
      </c>
      <c r="G242" s="17" t="s">
        <v>394</v>
      </c>
      <c r="H242" s="18">
        <v>17641.03</v>
      </c>
      <c r="I242" s="18">
        <v>7.01349977864</v>
      </c>
      <c r="J242" s="18">
        <v>123725.36</v>
      </c>
      <c r="K242" s="17" t="s">
        <v>2039</v>
      </c>
      <c r="L242" s="23" t="s">
        <v>2228</v>
      </c>
      <c r="M242" s="24"/>
    </row>
    <row r="243" spans="1:13">
      <c r="A243" s="19">
        <v>242</v>
      </c>
      <c r="B243" s="19"/>
      <c r="C243" s="19"/>
      <c r="D243" s="19"/>
      <c r="E243" s="17" t="s">
        <v>2275</v>
      </c>
      <c r="F243" s="17" t="s">
        <v>2074</v>
      </c>
      <c r="G243" s="17" t="s">
        <v>670</v>
      </c>
      <c r="H243" s="18">
        <v>60977</v>
      </c>
      <c r="I243" s="18">
        <v>7.0066000295100004</v>
      </c>
      <c r="J243" s="18">
        <v>427241.45</v>
      </c>
      <c r="K243" s="17" t="s">
        <v>2039</v>
      </c>
      <c r="L243" s="23" t="s">
        <v>2276</v>
      </c>
      <c r="M243" s="24"/>
    </row>
    <row r="244" spans="1:13">
      <c r="A244" s="19">
        <v>243</v>
      </c>
      <c r="B244" s="19"/>
      <c r="C244" s="19"/>
      <c r="D244" s="19"/>
      <c r="E244" s="17" t="s">
        <v>2275</v>
      </c>
      <c r="F244" s="17" t="s">
        <v>2045</v>
      </c>
      <c r="G244" s="17" t="s">
        <v>394</v>
      </c>
      <c r="H244" s="18">
        <v>40361.83</v>
      </c>
      <c r="I244" s="18">
        <v>7.0045998905399998</v>
      </c>
      <c r="J244" s="18">
        <v>282718.46999999997</v>
      </c>
      <c r="K244" s="17" t="s">
        <v>2039</v>
      </c>
      <c r="L244" s="23" t="s">
        <v>2277</v>
      </c>
      <c r="M244" s="24"/>
    </row>
    <row r="245" spans="1:13">
      <c r="A245" s="19">
        <v>244</v>
      </c>
      <c r="B245" s="19"/>
      <c r="C245" s="19"/>
      <c r="D245" s="19"/>
      <c r="E245" s="17" t="s">
        <v>874</v>
      </c>
      <c r="F245" s="17" t="s">
        <v>2047</v>
      </c>
      <c r="G245" s="17" t="s">
        <v>394</v>
      </c>
      <c r="H245" s="18">
        <v>142258.98000000001</v>
      </c>
      <c r="I245" s="18">
        <v>7.0184999920499997</v>
      </c>
      <c r="J245" s="18">
        <v>998444.65</v>
      </c>
      <c r="K245" s="17" t="s">
        <v>2039</v>
      </c>
      <c r="L245" s="23" t="s">
        <v>2278</v>
      </c>
      <c r="M245" s="24"/>
    </row>
    <row r="246" spans="1:13">
      <c r="A246" s="19">
        <v>245</v>
      </c>
      <c r="B246" s="19"/>
      <c r="C246" s="19"/>
      <c r="D246" s="19"/>
      <c r="E246" s="17" t="s">
        <v>874</v>
      </c>
      <c r="F246" s="17" t="s">
        <v>2074</v>
      </c>
      <c r="G246" s="17" t="s">
        <v>670</v>
      </c>
      <c r="H246" s="18">
        <v>61530.5</v>
      </c>
      <c r="I246" s="18">
        <v>7.01849993092</v>
      </c>
      <c r="J246" s="18">
        <v>431851.81</v>
      </c>
      <c r="K246" s="17" t="s">
        <v>2039</v>
      </c>
      <c r="L246" s="23" t="s">
        <v>2276</v>
      </c>
      <c r="M246" s="24"/>
    </row>
    <row r="247" spans="1:13">
      <c r="A247" s="19">
        <v>246</v>
      </c>
      <c r="B247" s="19"/>
      <c r="C247" s="19"/>
      <c r="D247" s="19"/>
      <c r="E247" s="17" t="s">
        <v>874</v>
      </c>
      <c r="F247" s="17" t="s">
        <v>2279</v>
      </c>
      <c r="G247" s="17" t="s">
        <v>756</v>
      </c>
      <c r="H247" s="18">
        <v>831.22</v>
      </c>
      <c r="I247" s="18">
        <v>7.0185029234099998</v>
      </c>
      <c r="J247" s="18">
        <v>5833.92</v>
      </c>
      <c r="K247" s="17" t="s">
        <v>2039</v>
      </c>
      <c r="L247" s="23" t="s">
        <v>2280</v>
      </c>
      <c r="M247" s="24"/>
    </row>
    <row r="248" spans="1:13">
      <c r="A248" s="19">
        <v>247</v>
      </c>
      <c r="B248" s="19"/>
      <c r="C248" s="19"/>
      <c r="D248" s="19"/>
      <c r="E248" s="17" t="s">
        <v>2281</v>
      </c>
      <c r="F248" s="17" t="s">
        <v>2165</v>
      </c>
      <c r="G248" s="17" t="s">
        <v>394</v>
      </c>
      <c r="H248" s="18">
        <v>17748.169999999998</v>
      </c>
      <c r="I248" s="18">
        <v>7.0234998875899999</v>
      </c>
      <c r="J248" s="18">
        <v>124654.27</v>
      </c>
      <c r="K248" s="17" t="s">
        <v>2039</v>
      </c>
      <c r="L248" s="23" t="s">
        <v>2282</v>
      </c>
      <c r="M248" s="24"/>
    </row>
    <row r="249" spans="1:13">
      <c r="A249" s="19">
        <v>248</v>
      </c>
      <c r="B249" s="19"/>
      <c r="C249" s="19"/>
      <c r="D249" s="19"/>
      <c r="E249" s="17" t="s">
        <v>2281</v>
      </c>
      <c r="F249" s="17" t="s">
        <v>2078</v>
      </c>
      <c r="G249" s="17" t="s">
        <v>394</v>
      </c>
      <c r="H249" s="18">
        <v>15628.5</v>
      </c>
      <c r="I249" s="18">
        <v>7.0235000159899998</v>
      </c>
      <c r="J249" s="18">
        <v>109766.77</v>
      </c>
      <c r="K249" s="17" t="s">
        <v>2039</v>
      </c>
      <c r="L249" s="23" t="s">
        <v>2283</v>
      </c>
      <c r="M249" s="24"/>
    </row>
    <row r="250" spans="1:13">
      <c r="A250" s="19">
        <v>249</v>
      </c>
      <c r="B250" s="19"/>
      <c r="C250" s="19"/>
      <c r="D250" s="19"/>
      <c r="E250" s="17" t="s">
        <v>2281</v>
      </c>
      <c r="F250" s="17" t="s">
        <v>2078</v>
      </c>
      <c r="G250" s="17" t="s">
        <v>394</v>
      </c>
      <c r="H250" s="18">
        <v>16334.92</v>
      </c>
      <c r="I250" s="18">
        <v>7.0234999620399998</v>
      </c>
      <c r="J250" s="18">
        <v>114728.31</v>
      </c>
      <c r="K250" s="17" t="s">
        <v>2039</v>
      </c>
      <c r="L250" s="23" t="s">
        <v>2284</v>
      </c>
      <c r="M250" s="24"/>
    </row>
    <row r="251" spans="1:13">
      <c r="A251" s="19">
        <v>250</v>
      </c>
      <c r="B251" s="19"/>
      <c r="C251" s="19"/>
      <c r="D251" s="19"/>
      <c r="E251" s="17" t="s">
        <v>2281</v>
      </c>
      <c r="F251" s="17" t="s">
        <v>2041</v>
      </c>
      <c r="G251" s="17" t="s">
        <v>453</v>
      </c>
      <c r="H251" s="18">
        <v>39033.15</v>
      </c>
      <c r="I251" s="18">
        <v>7.0235000249699997</v>
      </c>
      <c r="J251" s="18">
        <v>274149.33</v>
      </c>
      <c r="K251" s="17" t="s">
        <v>2039</v>
      </c>
      <c r="L251" s="23" t="s">
        <v>2285</v>
      </c>
      <c r="M251" s="24"/>
    </row>
    <row r="252" spans="1:13">
      <c r="A252" s="19">
        <v>251</v>
      </c>
      <c r="B252" s="20"/>
      <c r="C252" s="19"/>
      <c r="D252" s="19"/>
      <c r="E252" s="17" t="s">
        <v>795</v>
      </c>
      <c r="F252" s="17" t="s">
        <v>2069</v>
      </c>
      <c r="G252" s="17" t="s">
        <v>459</v>
      </c>
      <c r="H252" s="18">
        <v>121443.75</v>
      </c>
      <c r="I252" s="18">
        <v>7.0329999691199996</v>
      </c>
      <c r="J252" s="18">
        <v>854113.89</v>
      </c>
      <c r="K252" s="15" t="s">
        <v>2039</v>
      </c>
      <c r="L252" s="23" t="s">
        <v>2286</v>
      </c>
      <c r="M252" s="24"/>
    </row>
    <row r="253" spans="1:13">
      <c r="A253" s="19">
        <v>252</v>
      </c>
      <c r="B253" s="20"/>
      <c r="C253" s="19"/>
      <c r="D253" s="19"/>
      <c r="E253" s="17" t="s">
        <v>2287</v>
      </c>
      <c r="F253" s="17" t="s">
        <v>2288</v>
      </c>
      <c r="G253" s="17" t="s">
        <v>394</v>
      </c>
      <c r="H253" s="18">
        <v>4896</v>
      </c>
      <c r="I253" s="18">
        <v>7.0180004084899998</v>
      </c>
      <c r="J253" s="18">
        <v>34360.129999999997</v>
      </c>
      <c r="K253" s="17" t="s">
        <v>2134</v>
      </c>
      <c r="L253" s="23" t="s">
        <v>2289</v>
      </c>
      <c r="M253" s="24"/>
    </row>
    <row r="254" spans="1:13">
      <c r="A254" s="19">
        <v>253</v>
      </c>
      <c r="B254" s="19"/>
      <c r="C254" s="19"/>
      <c r="D254" s="19"/>
      <c r="E254" s="17" t="s">
        <v>2287</v>
      </c>
      <c r="F254" s="17" t="s">
        <v>2089</v>
      </c>
      <c r="G254" s="17" t="s">
        <v>394</v>
      </c>
      <c r="H254" s="18">
        <v>16363.44</v>
      </c>
      <c r="I254" s="18">
        <v>7.0242002903999996</v>
      </c>
      <c r="J254" s="18">
        <v>114940.08</v>
      </c>
      <c r="K254" s="17" t="s">
        <v>2039</v>
      </c>
      <c r="L254" s="23" t="s">
        <v>2225</v>
      </c>
      <c r="M254" s="24"/>
    </row>
    <row r="255" spans="1:13">
      <c r="A255" s="19">
        <v>254</v>
      </c>
      <c r="B255" s="19"/>
      <c r="C255" s="19"/>
      <c r="D255" s="19"/>
      <c r="E255" s="17" t="s">
        <v>2287</v>
      </c>
      <c r="F255" s="17" t="s">
        <v>2074</v>
      </c>
      <c r="G255" s="17" t="s">
        <v>670</v>
      </c>
      <c r="H255" s="18">
        <v>47718.46</v>
      </c>
      <c r="I255" s="18">
        <v>7.0242000684799999</v>
      </c>
      <c r="J255" s="18">
        <v>335184.01</v>
      </c>
      <c r="K255" s="17" t="s">
        <v>2039</v>
      </c>
      <c r="L255" s="23" t="s">
        <v>2116</v>
      </c>
      <c r="M255" s="24"/>
    </row>
    <row r="256" spans="1:13">
      <c r="A256" s="19">
        <v>255</v>
      </c>
      <c r="B256" s="19"/>
      <c r="C256" s="19"/>
      <c r="D256" s="19"/>
      <c r="E256" s="17" t="s">
        <v>2287</v>
      </c>
      <c r="F256" s="17" t="s">
        <v>2071</v>
      </c>
      <c r="G256" s="17" t="s">
        <v>453</v>
      </c>
      <c r="H256" s="18">
        <v>49966.21</v>
      </c>
      <c r="I256" s="18">
        <v>7.0241999543200002</v>
      </c>
      <c r="J256" s="18">
        <v>350972.65</v>
      </c>
      <c r="K256" s="17" t="s">
        <v>2039</v>
      </c>
      <c r="L256" s="23" t="s">
        <v>2290</v>
      </c>
      <c r="M256" s="24"/>
    </row>
    <row r="257" spans="1:13">
      <c r="A257" s="19">
        <v>256</v>
      </c>
      <c r="B257" s="19"/>
      <c r="C257" s="19"/>
      <c r="D257" s="19"/>
      <c r="E257" s="17" t="s">
        <v>2287</v>
      </c>
      <c r="F257" s="17" t="s">
        <v>2045</v>
      </c>
      <c r="G257" s="17" t="s">
        <v>394</v>
      </c>
      <c r="H257" s="18">
        <v>10000</v>
      </c>
      <c r="I257" s="18">
        <v>7.0242000000000004</v>
      </c>
      <c r="J257" s="18">
        <v>70242</v>
      </c>
      <c r="K257" s="17" t="s">
        <v>2039</v>
      </c>
      <c r="L257" s="23" t="s">
        <v>2291</v>
      </c>
      <c r="M257" s="24"/>
    </row>
    <row r="258" spans="1:13">
      <c r="A258" s="19">
        <v>257</v>
      </c>
      <c r="B258" s="19"/>
      <c r="C258" s="19"/>
      <c r="D258" s="19"/>
      <c r="E258" s="17" t="s">
        <v>2287</v>
      </c>
      <c r="F258" s="17" t="s">
        <v>2047</v>
      </c>
      <c r="G258" s="17" t="s">
        <v>394</v>
      </c>
      <c r="H258" s="18">
        <v>70756.990000000005</v>
      </c>
      <c r="I258" s="18">
        <v>7.0242000118899997</v>
      </c>
      <c r="J258" s="18">
        <v>497011.25</v>
      </c>
      <c r="K258" s="15" t="s">
        <v>2039</v>
      </c>
      <c r="L258" s="23" t="s">
        <v>2292</v>
      </c>
      <c r="M258" s="24"/>
    </row>
    <row r="259" spans="1:13">
      <c r="A259" s="19">
        <v>258</v>
      </c>
      <c r="B259" s="19"/>
      <c r="C259" s="19"/>
      <c r="D259" s="19"/>
      <c r="E259" s="17" t="s">
        <v>2293</v>
      </c>
      <c r="F259" s="17" t="s">
        <v>2078</v>
      </c>
      <c r="G259" s="17" t="s">
        <v>394</v>
      </c>
      <c r="H259" s="18">
        <v>87327.05</v>
      </c>
      <c r="I259" s="18">
        <v>7.0305000569600002</v>
      </c>
      <c r="J259" s="18">
        <v>613952.82999999996</v>
      </c>
      <c r="K259" s="17" t="s">
        <v>2039</v>
      </c>
      <c r="L259" s="23" t="s">
        <v>2294</v>
      </c>
      <c r="M259" s="24"/>
    </row>
    <row r="260" spans="1:13">
      <c r="A260" s="19">
        <v>259</v>
      </c>
      <c r="B260" s="19"/>
      <c r="C260" s="19"/>
      <c r="D260" s="19"/>
      <c r="E260" s="17" t="s">
        <v>2293</v>
      </c>
      <c r="F260" s="17" t="s">
        <v>2101</v>
      </c>
      <c r="G260" s="17" t="s">
        <v>394</v>
      </c>
      <c r="H260" s="18">
        <v>7185</v>
      </c>
      <c r="I260" s="18">
        <v>7.0303994432800003</v>
      </c>
      <c r="J260" s="18">
        <v>50513.42</v>
      </c>
      <c r="K260" s="17" t="s">
        <v>2039</v>
      </c>
      <c r="L260" s="23" t="s">
        <v>2295</v>
      </c>
      <c r="M260" s="24"/>
    </row>
    <row r="261" spans="1:13">
      <c r="A261" s="19">
        <v>260</v>
      </c>
      <c r="B261" s="19"/>
      <c r="C261" s="19"/>
      <c r="D261" s="19"/>
      <c r="E261" s="17" t="s">
        <v>2293</v>
      </c>
      <c r="F261" s="17" t="s">
        <v>2041</v>
      </c>
      <c r="G261" s="17" t="s">
        <v>453</v>
      </c>
      <c r="H261" s="18">
        <v>37026.71</v>
      </c>
      <c r="I261" s="18">
        <v>7.0303999464100002</v>
      </c>
      <c r="J261" s="18">
        <v>260312.58</v>
      </c>
      <c r="K261" s="17" t="s">
        <v>2039</v>
      </c>
      <c r="L261" s="23" t="s">
        <v>2296</v>
      </c>
      <c r="M261" s="24"/>
    </row>
    <row r="262" spans="1:13">
      <c r="A262" s="19">
        <v>261</v>
      </c>
      <c r="B262" s="19"/>
      <c r="C262" s="19"/>
      <c r="D262" s="19"/>
      <c r="E262" s="17" t="s">
        <v>2293</v>
      </c>
      <c r="F262" s="17" t="s">
        <v>2056</v>
      </c>
      <c r="G262" s="17" t="s">
        <v>394</v>
      </c>
      <c r="H262" s="18">
        <v>17380.990000000002</v>
      </c>
      <c r="I262" s="18">
        <v>7.0303998794</v>
      </c>
      <c r="J262" s="18">
        <v>122195.31</v>
      </c>
      <c r="K262" s="17" t="s">
        <v>2039</v>
      </c>
      <c r="L262" s="23" t="s">
        <v>2255</v>
      </c>
      <c r="M262" s="24"/>
    </row>
    <row r="263" spans="1:13">
      <c r="A263" s="19">
        <v>262</v>
      </c>
      <c r="B263" s="19"/>
      <c r="C263" s="19"/>
      <c r="D263" s="19"/>
      <c r="E263" s="17" t="s">
        <v>2293</v>
      </c>
      <c r="F263" s="17" t="s">
        <v>2061</v>
      </c>
      <c r="G263" s="17" t="s">
        <v>453</v>
      </c>
      <c r="H263" s="18">
        <v>178900.84</v>
      </c>
      <c r="I263" s="18">
        <v>7.0304000249499996</v>
      </c>
      <c r="J263" s="18">
        <v>1257744.47</v>
      </c>
      <c r="K263" s="17" t="s">
        <v>2039</v>
      </c>
      <c r="L263" s="23" t="s">
        <v>2297</v>
      </c>
      <c r="M263" s="24"/>
    </row>
    <row r="264" spans="1:13">
      <c r="A264" s="19">
        <v>263</v>
      </c>
      <c r="B264" s="20"/>
      <c r="C264" s="20"/>
      <c r="D264" s="19"/>
      <c r="E264" s="17" t="s">
        <v>2293</v>
      </c>
      <c r="F264" s="17" t="s">
        <v>2298</v>
      </c>
      <c r="G264" s="17" t="s">
        <v>391</v>
      </c>
      <c r="H264" s="18">
        <v>2972</v>
      </c>
      <c r="I264" s="18">
        <v>7.0212012113000002</v>
      </c>
      <c r="J264" s="18">
        <v>20867.009999999998</v>
      </c>
      <c r="K264" s="17" t="s">
        <v>2134</v>
      </c>
      <c r="L264" s="23" t="s">
        <v>2299</v>
      </c>
      <c r="M264" s="24"/>
    </row>
    <row r="265" spans="1:13">
      <c r="A265" s="19">
        <v>264</v>
      </c>
      <c r="B265" s="19"/>
      <c r="C265" s="19"/>
      <c r="D265" s="19"/>
      <c r="E265" s="17" t="s">
        <v>2300</v>
      </c>
      <c r="F265" s="17" t="s">
        <v>2112</v>
      </c>
      <c r="G265" s="17" t="s">
        <v>394</v>
      </c>
      <c r="H265" s="18">
        <v>13607.16</v>
      </c>
      <c r="I265" s="18">
        <v>7.0225998665400002</v>
      </c>
      <c r="J265" s="18">
        <v>95557.64</v>
      </c>
      <c r="K265" s="17" t="s">
        <v>2039</v>
      </c>
      <c r="L265" s="23" t="s">
        <v>2244</v>
      </c>
      <c r="M265" s="24"/>
    </row>
    <row r="266" spans="1:13">
      <c r="A266" s="19">
        <v>265</v>
      </c>
      <c r="B266" s="19"/>
      <c r="C266" s="19"/>
      <c r="D266" s="19"/>
      <c r="E266" s="17" t="s">
        <v>2300</v>
      </c>
      <c r="F266" s="17" t="s">
        <v>2078</v>
      </c>
      <c r="G266" s="17" t="s">
        <v>394</v>
      </c>
      <c r="H266" s="18">
        <v>26539.54</v>
      </c>
      <c r="I266" s="18">
        <v>7.0225998642</v>
      </c>
      <c r="J266" s="18">
        <v>186376.57</v>
      </c>
      <c r="K266" s="17" t="s">
        <v>2039</v>
      </c>
      <c r="L266" s="23" t="s">
        <v>2301</v>
      </c>
      <c r="M266" s="24"/>
    </row>
    <row r="267" spans="1:13">
      <c r="A267" s="19">
        <v>266</v>
      </c>
      <c r="B267" s="19"/>
      <c r="C267" s="19"/>
      <c r="D267" s="19"/>
      <c r="E267" s="17" t="s">
        <v>2300</v>
      </c>
      <c r="F267" s="17" t="s">
        <v>2302</v>
      </c>
      <c r="G267" s="17" t="s">
        <v>394</v>
      </c>
      <c r="H267" s="18">
        <v>31816.799999999999</v>
      </c>
      <c r="I267" s="18">
        <v>7.0225998642</v>
      </c>
      <c r="J267" s="18">
        <v>223436.66</v>
      </c>
      <c r="K267" s="17" t="s">
        <v>2039</v>
      </c>
      <c r="L267" s="23" t="s">
        <v>2303</v>
      </c>
      <c r="M267" s="24"/>
    </row>
    <row r="268" spans="1:13">
      <c r="A268" s="19">
        <v>267</v>
      </c>
      <c r="B268" s="19"/>
      <c r="C268" s="19"/>
      <c r="D268" s="19"/>
      <c r="E268" s="17" t="s">
        <v>936</v>
      </c>
      <c r="F268" s="17" t="s">
        <v>2246</v>
      </c>
      <c r="G268" s="17" t="s">
        <v>394</v>
      </c>
      <c r="H268" s="18">
        <v>3980</v>
      </c>
      <c r="I268" s="18">
        <v>7.0197989949700004</v>
      </c>
      <c r="J268" s="18">
        <v>27938.799999999999</v>
      </c>
      <c r="K268" s="17" t="s">
        <v>2039</v>
      </c>
      <c r="L268" s="23" t="s">
        <v>2267</v>
      </c>
      <c r="M268" s="24"/>
    </row>
    <row r="269" spans="1:13">
      <c r="A269" s="19">
        <v>268</v>
      </c>
      <c r="B269" s="19"/>
      <c r="C269" s="19"/>
      <c r="D269" s="19"/>
      <c r="E269" s="17" t="s">
        <v>936</v>
      </c>
      <c r="F269" s="17" t="s">
        <v>2246</v>
      </c>
      <c r="G269" s="17" t="s">
        <v>394</v>
      </c>
      <c r="H269" s="18">
        <v>14405</v>
      </c>
      <c r="I269" s="18">
        <v>7.0182998958600002</v>
      </c>
      <c r="J269" s="18">
        <v>101098.61</v>
      </c>
      <c r="K269" s="17" t="s">
        <v>2126</v>
      </c>
      <c r="L269" s="23" t="s">
        <v>2267</v>
      </c>
      <c r="M269" s="24"/>
    </row>
    <row r="270" spans="1:13">
      <c r="A270" s="19">
        <v>269</v>
      </c>
      <c r="B270" s="19"/>
      <c r="C270" s="19"/>
      <c r="D270" s="19"/>
      <c r="E270" s="17" t="s">
        <v>1618</v>
      </c>
      <c r="F270" s="17" t="s">
        <v>2061</v>
      </c>
      <c r="G270" s="17" t="s">
        <v>453</v>
      </c>
      <c r="H270" s="18">
        <v>147049.22</v>
      </c>
      <c r="I270" s="18">
        <v>7.0253999987200002</v>
      </c>
      <c r="J270" s="18">
        <v>1033079.59</v>
      </c>
      <c r="K270" s="17" t="s">
        <v>2039</v>
      </c>
      <c r="L270" s="23" t="s">
        <v>2304</v>
      </c>
      <c r="M270" s="24"/>
    </row>
    <row r="271" spans="1:13">
      <c r="A271" s="19">
        <v>270</v>
      </c>
      <c r="B271" s="19"/>
      <c r="C271" s="19"/>
      <c r="D271" s="19"/>
      <c r="E271" s="17" t="s">
        <v>1618</v>
      </c>
      <c r="F271" s="17" t="s">
        <v>2047</v>
      </c>
      <c r="G271" s="17" t="s">
        <v>394</v>
      </c>
      <c r="H271" s="18">
        <v>146296.67000000001</v>
      </c>
      <c r="I271" s="18">
        <v>7.0254000313100002</v>
      </c>
      <c r="J271" s="18">
        <v>1027792.63</v>
      </c>
      <c r="K271" s="17" t="s">
        <v>2039</v>
      </c>
      <c r="L271" s="23" t="s">
        <v>2305</v>
      </c>
      <c r="M271" s="24"/>
    </row>
    <row r="272" spans="1:13">
      <c r="A272" s="19">
        <v>271</v>
      </c>
      <c r="B272" s="19"/>
      <c r="C272" s="19"/>
      <c r="D272" s="19"/>
      <c r="E272" s="17" t="s">
        <v>1618</v>
      </c>
      <c r="F272" s="17" t="s">
        <v>2041</v>
      </c>
      <c r="G272" s="17" t="s">
        <v>453</v>
      </c>
      <c r="H272" s="18">
        <v>17984</v>
      </c>
      <c r="I272" s="18">
        <v>7.0253997998199997</v>
      </c>
      <c r="J272" s="18">
        <v>126344.79</v>
      </c>
      <c r="K272" s="17" t="s">
        <v>2039</v>
      </c>
      <c r="L272" s="23" t="s">
        <v>2306</v>
      </c>
      <c r="M272" s="24"/>
    </row>
    <row r="273" spans="1:13">
      <c r="A273" s="19">
        <v>272</v>
      </c>
      <c r="B273" s="19"/>
      <c r="C273" s="19"/>
      <c r="D273" s="19"/>
      <c r="E273" s="17" t="s">
        <v>1618</v>
      </c>
      <c r="F273" s="17" t="s">
        <v>2246</v>
      </c>
      <c r="G273" s="17" t="s">
        <v>394</v>
      </c>
      <c r="H273" s="18">
        <v>3980</v>
      </c>
      <c r="I273" s="18">
        <v>7.0157989949699999</v>
      </c>
      <c r="J273" s="18">
        <v>27922.880000000001</v>
      </c>
      <c r="K273" s="17" t="s">
        <v>2039</v>
      </c>
      <c r="L273" s="23" t="s">
        <v>2307</v>
      </c>
      <c r="M273" s="24"/>
    </row>
    <row r="274" spans="1:13">
      <c r="A274" s="19">
        <v>273</v>
      </c>
      <c r="B274" s="19"/>
      <c r="C274" s="19"/>
      <c r="D274" s="19"/>
      <c r="E274" s="17" t="s">
        <v>2308</v>
      </c>
      <c r="F274" s="17" t="s">
        <v>2051</v>
      </c>
      <c r="G274" s="17" t="s">
        <v>690</v>
      </c>
      <c r="H274" s="18">
        <v>68006.259999999995</v>
      </c>
      <c r="I274" s="18">
        <v>7.0349000224299996</v>
      </c>
      <c r="J274" s="18">
        <v>478417.24</v>
      </c>
      <c r="K274" s="17" t="s">
        <v>2039</v>
      </c>
      <c r="L274" s="23" t="s">
        <v>2269</v>
      </c>
      <c r="M274" s="24"/>
    </row>
    <row r="275" spans="1:13">
      <c r="A275" s="19">
        <v>274</v>
      </c>
      <c r="B275" s="19"/>
      <c r="C275" s="19"/>
      <c r="D275" s="19"/>
      <c r="E275" s="17" t="s">
        <v>2309</v>
      </c>
      <c r="F275" s="17" t="s">
        <v>2067</v>
      </c>
      <c r="G275" s="17" t="s">
        <v>575</v>
      </c>
      <c r="H275" s="18">
        <v>6723</v>
      </c>
      <c r="I275" s="18">
        <v>7.0581005503399998</v>
      </c>
      <c r="J275" s="18">
        <v>47451.61</v>
      </c>
      <c r="K275" s="17" t="s">
        <v>2039</v>
      </c>
      <c r="L275" s="23" t="s">
        <v>2310</v>
      </c>
      <c r="M275" s="24"/>
    </row>
    <row r="276" spans="1:13">
      <c r="A276" s="19">
        <v>275</v>
      </c>
      <c r="B276" s="19"/>
      <c r="C276" s="19"/>
      <c r="D276" s="19"/>
      <c r="E276" s="17" t="s">
        <v>2309</v>
      </c>
      <c r="F276" s="17" t="s">
        <v>2067</v>
      </c>
      <c r="G276" s="17" t="s">
        <v>575</v>
      </c>
      <c r="H276" s="18">
        <v>14709.39</v>
      </c>
      <c r="I276" s="18">
        <v>7.0581003019099997</v>
      </c>
      <c r="J276" s="18">
        <v>103820.35</v>
      </c>
      <c r="K276" s="17" t="s">
        <v>2039</v>
      </c>
      <c r="L276" s="23" t="s">
        <v>2311</v>
      </c>
      <c r="M276" s="24"/>
    </row>
    <row r="277" spans="1:13">
      <c r="A277" s="19">
        <v>276</v>
      </c>
      <c r="B277" s="19"/>
      <c r="C277" s="19"/>
      <c r="D277" s="19"/>
      <c r="E277" s="17" t="s">
        <v>2309</v>
      </c>
      <c r="F277" s="17" t="s">
        <v>2078</v>
      </c>
      <c r="G277" s="17" t="s">
        <v>394</v>
      </c>
      <c r="H277" s="18">
        <v>17855.439999999999</v>
      </c>
      <c r="I277" s="18">
        <v>7.05809994041</v>
      </c>
      <c r="J277" s="18">
        <v>126025.48</v>
      </c>
      <c r="K277" s="17" t="s">
        <v>2039</v>
      </c>
      <c r="L277" s="23" t="s">
        <v>2312</v>
      </c>
      <c r="M277" s="24"/>
    </row>
    <row r="278" spans="1:13">
      <c r="A278" s="19">
        <v>277</v>
      </c>
      <c r="B278" s="19"/>
      <c r="C278" s="19"/>
      <c r="D278" s="19"/>
      <c r="E278" s="17" t="s">
        <v>2313</v>
      </c>
      <c r="F278" s="17" t="s">
        <v>2246</v>
      </c>
      <c r="G278" s="17" t="s">
        <v>394</v>
      </c>
      <c r="H278" s="18">
        <v>4037.42</v>
      </c>
      <c r="I278" s="18">
        <v>7.0571998949800001</v>
      </c>
      <c r="J278" s="18">
        <v>28492.880000000001</v>
      </c>
      <c r="K278" s="17" t="s">
        <v>2126</v>
      </c>
      <c r="L278" s="23" t="s">
        <v>2314</v>
      </c>
      <c r="M278" s="24"/>
    </row>
    <row r="279" spans="1:13">
      <c r="A279" s="19">
        <v>278</v>
      </c>
      <c r="B279" s="19"/>
      <c r="C279" s="19"/>
      <c r="D279" s="19"/>
      <c r="E279" s="17" t="s">
        <v>2313</v>
      </c>
      <c r="F279" s="17" t="s">
        <v>2047</v>
      </c>
      <c r="G279" s="17" t="s">
        <v>394</v>
      </c>
      <c r="H279" s="18">
        <v>33091.97</v>
      </c>
      <c r="I279" s="18">
        <v>7.0404998554000002</v>
      </c>
      <c r="J279" s="18">
        <v>232984.01</v>
      </c>
      <c r="K279" s="17" t="s">
        <v>2039</v>
      </c>
      <c r="L279" s="23" t="s">
        <v>2315</v>
      </c>
      <c r="M279" s="24"/>
    </row>
    <row r="280" spans="1:13">
      <c r="A280" s="19">
        <v>279</v>
      </c>
      <c r="B280" s="19"/>
      <c r="C280" s="19"/>
      <c r="D280" s="19"/>
      <c r="E280" s="17" t="s">
        <v>2313</v>
      </c>
      <c r="F280" s="17" t="s">
        <v>2061</v>
      </c>
      <c r="G280" s="17" t="s">
        <v>453</v>
      </c>
      <c r="H280" s="18">
        <v>77617.02</v>
      </c>
      <c r="I280" s="18">
        <v>7.0405000888</v>
      </c>
      <c r="J280" s="18">
        <v>546462.63</v>
      </c>
      <c r="K280" s="17" t="s">
        <v>2039</v>
      </c>
      <c r="L280" s="23" t="s">
        <v>2316</v>
      </c>
      <c r="M280" s="24"/>
    </row>
    <row r="281" spans="1:13">
      <c r="A281" s="19">
        <v>280</v>
      </c>
      <c r="B281" s="19"/>
      <c r="C281" s="19"/>
      <c r="D281" s="19"/>
      <c r="E281" s="17" t="s">
        <v>2313</v>
      </c>
      <c r="F281" s="17" t="s">
        <v>2045</v>
      </c>
      <c r="G281" s="17" t="s">
        <v>394</v>
      </c>
      <c r="H281" s="18">
        <v>29490.99</v>
      </c>
      <c r="I281" s="18">
        <v>7.0405001663200002</v>
      </c>
      <c r="J281" s="18">
        <v>207631.32</v>
      </c>
      <c r="K281" s="17" t="s">
        <v>2039</v>
      </c>
      <c r="L281" s="23" t="s">
        <v>2291</v>
      </c>
      <c r="M281" s="24"/>
    </row>
    <row r="282" spans="1:13">
      <c r="A282" s="19">
        <v>281</v>
      </c>
      <c r="B282" s="19"/>
      <c r="C282" s="19"/>
      <c r="D282" s="19"/>
      <c r="E282" s="17" t="s">
        <v>2313</v>
      </c>
      <c r="F282" s="17" t="s">
        <v>2302</v>
      </c>
      <c r="G282" s="17" t="s">
        <v>394</v>
      </c>
      <c r="H282" s="18">
        <v>14082.13</v>
      </c>
      <c r="I282" s="18">
        <v>7.0405002652200004</v>
      </c>
      <c r="J282" s="18">
        <v>99145.24</v>
      </c>
      <c r="K282" s="17" t="s">
        <v>2039</v>
      </c>
      <c r="L282" s="23" t="s">
        <v>2317</v>
      </c>
      <c r="M282" s="24"/>
    </row>
    <row r="283" spans="1:13">
      <c r="A283" s="19">
        <v>282</v>
      </c>
      <c r="B283" s="19"/>
      <c r="C283" s="19"/>
      <c r="D283" s="19"/>
      <c r="E283" s="17" t="s">
        <v>2313</v>
      </c>
      <c r="F283" s="17" t="s">
        <v>2071</v>
      </c>
      <c r="G283" s="17" t="s">
        <v>453</v>
      </c>
      <c r="H283" s="18">
        <v>19966.21</v>
      </c>
      <c r="I283" s="18">
        <v>7.0404999246199997</v>
      </c>
      <c r="J283" s="18">
        <v>140572.1</v>
      </c>
      <c r="K283" s="17" t="s">
        <v>2039</v>
      </c>
      <c r="L283" s="23" t="s">
        <v>2318</v>
      </c>
      <c r="M283" s="24"/>
    </row>
    <row r="284" spans="1:13">
      <c r="A284" s="19">
        <v>283</v>
      </c>
      <c r="B284" s="19"/>
      <c r="C284" s="19"/>
      <c r="D284" s="19"/>
      <c r="E284" s="17" t="s">
        <v>1603</v>
      </c>
      <c r="F284" s="17" t="s">
        <v>2078</v>
      </c>
      <c r="G284" s="17" t="s">
        <v>394</v>
      </c>
      <c r="H284" s="18">
        <v>15129.62</v>
      </c>
      <c r="I284" s="18">
        <v>7.02550030998</v>
      </c>
      <c r="J284" s="18">
        <v>106293.15</v>
      </c>
      <c r="K284" s="17" t="s">
        <v>2039</v>
      </c>
      <c r="L284" s="23" t="s">
        <v>2319</v>
      </c>
      <c r="M284" s="24"/>
    </row>
    <row r="285" spans="1:13">
      <c r="A285" s="19">
        <v>284</v>
      </c>
      <c r="B285" s="19"/>
      <c r="C285" s="19"/>
      <c r="D285" s="19"/>
      <c r="E285" s="17" t="s">
        <v>1603</v>
      </c>
      <c r="F285" s="17" t="s">
        <v>2054</v>
      </c>
      <c r="G285" s="17" t="s">
        <v>453</v>
      </c>
      <c r="H285" s="18">
        <v>20257.009999999998</v>
      </c>
      <c r="I285" s="18">
        <v>7.0254998146299998</v>
      </c>
      <c r="J285" s="18">
        <v>142315.62</v>
      </c>
      <c r="K285" s="17" t="s">
        <v>2039</v>
      </c>
      <c r="L285" s="23" t="s">
        <v>2320</v>
      </c>
      <c r="M285" s="24"/>
    </row>
    <row r="286" spans="1:13">
      <c r="A286" s="19">
        <v>285</v>
      </c>
      <c r="B286" s="19"/>
      <c r="C286" s="19"/>
      <c r="D286" s="19"/>
      <c r="E286" s="17" t="s">
        <v>1603</v>
      </c>
      <c r="F286" s="17" t="s">
        <v>2078</v>
      </c>
      <c r="G286" s="17" t="s">
        <v>394</v>
      </c>
      <c r="H286" s="18">
        <v>15410.68</v>
      </c>
      <c r="I286" s="18">
        <v>7.0254998481499999</v>
      </c>
      <c r="J286" s="18">
        <v>108267.73</v>
      </c>
      <c r="K286" s="17" t="s">
        <v>2039</v>
      </c>
      <c r="L286" s="23" t="s">
        <v>2319</v>
      </c>
      <c r="M286" s="24"/>
    </row>
    <row r="287" spans="1:13">
      <c r="A287" s="19">
        <v>286</v>
      </c>
      <c r="B287" s="19"/>
      <c r="C287" s="19"/>
      <c r="D287" s="19"/>
      <c r="E287" s="17" t="s">
        <v>1603</v>
      </c>
      <c r="F287" s="17" t="s">
        <v>2056</v>
      </c>
      <c r="G287" s="17" t="s">
        <v>394</v>
      </c>
      <c r="H287" s="18">
        <v>35492.019999999997</v>
      </c>
      <c r="I287" s="18">
        <v>7.0255000983300002</v>
      </c>
      <c r="J287" s="18">
        <v>249349.19</v>
      </c>
      <c r="K287" s="17" t="s">
        <v>2039</v>
      </c>
      <c r="L287" s="23" t="s">
        <v>2321</v>
      </c>
      <c r="M287" s="24"/>
    </row>
    <row r="288" spans="1:13">
      <c r="A288" s="19">
        <v>287</v>
      </c>
      <c r="B288" s="19"/>
      <c r="C288" s="19"/>
      <c r="D288" s="19"/>
      <c r="E288" s="17" t="s">
        <v>2322</v>
      </c>
      <c r="F288" s="17" t="s">
        <v>2101</v>
      </c>
      <c r="G288" s="17" t="s">
        <v>394</v>
      </c>
      <c r="H288" s="18">
        <v>7285</v>
      </c>
      <c r="I288" s="18">
        <v>7.0289004804299999</v>
      </c>
      <c r="J288" s="18">
        <v>51205.54</v>
      </c>
      <c r="K288" s="17" t="s">
        <v>2039</v>
      </c>
      <c r="L288" s="23" t="s">
        <v>2323</v>
      </c>
      <c r="M288" s="24"/>
    </row>
    <row r="289" spans="1:13">
      <c r="A289" s="19">
        <v>288</v>
      </c>
      <c r="B289" s="19"/>
      <c r="C289" s="19"/>
      <c r="D289" s="19"/>
      <c r="E289" s="17" t="s">
        <v>2322</v>
      </c>
      <c r="F289" s="17" t="s">
        <v>2041</v>
      </c>
      <c r="G289" s="17" t="s">
        <v>453</v>
      </c>
      <c r="H289" s="18">
        <v>18182.91</v>
      </c>
      <c r="I289" s="18">
        <v>7.0289002145400001</v>
      </c>
      <c r="J289" s="18">
        <v>127805.86</v>
      </c>
      <c r="K289" s="17" t="s">
        <v>2039</v>
      </c>
      <c r="L289" s="23" t="s">
        <v>2324</v>
      </c>
      <c r="M289" s="24"/>
    </row>
    <row r="290" spans="1:13">
      <c r="A290" s="19">
        <v>289</v>
      </c>
      <c r="B290" s="19"/>
      <c r="C290" s="19"/>
      <c r="D290" s="19"/>
      <c r="E290" s="17" t="s">
        <v>2322</v>
      </c>
      <c r="F290" s="17" t="s">
        <v>2078</v>
      </c>
      <c r="G290" s="17" t="s">
        <v>394</v>
      </c>
      <c r="H290" s="18">
        <v>13114.71</v>
      </c>
      <c r="I290" s="18">
        <v>7.0289003721699999</v>
      </c>
      <c r="J290" s="18">
        <v>92181.99</v>
      </c>
      <c r="K290" s="17" t="s">
        <v>2039</v>
      </c>
      <c r="L290" s="23" t="s">
        <v>2325</v>
      </c>
      <c r="M290" s="24"/>
    </row>
    <row r="291" spans="1:13">
      <c r="A291" s="19">
        <v>290</v>
      </c>
      <c r="B291" s="19"/>
      <c r="C291" s="19"/>
      <c r="D291" s="19"/>
      <c r="E291" s="17" t="s">
        <v>2322</v>
      </c>
      <c r="F291" s="17" t="s">
        <v>2246</v>
      </c>
      <c r="G291" s="17" t="s">
        <v>394</v>
      </c>
      <c r="H291" s="18">
        <v>51915.199999999997</v>
      </c>
      <c r="I291" s="18">
        <v>7.0289000138600004</v>
      </c>
      <c r="J291" s="18">
        <v>364906.75</v>
      </c>
      <c r="K291" s="17" t="s">
        <v>2039</v>
      </c>
      <c r="L291" s="23" t="s">
        <v>2326</v>
      </c>
      <c r="M291" s="24"/>
    </row>
    <row r="292" spans="1:13">
      <c r="A292" s="19">
        <v>291</v>
      </c>
      <c r="B292" s="20"/>
      <c r="C292" s="19"/>
      <c r="D292" s="19"/>
      <c r="E292" s="17" t="s">
        <v>2322</v>
      </c>
      <c r="F292" s="17" t="s">
        <v>2298</v>
      </c>
      <c r="G292" s="17" t="s">
        <v>391</v>
      </c>
      <c r="H292" s="18">
        <v>7214.52</v>
      </c>
      <c r="I292" s="18">
        <v>7.0219002788799996</v>
      </c>
      <c r="J292" s="18">
        <v>50659.64</v>
      </c>
      <c r="K292" s="17" t="s">
        <v>2134</v>
      </c>
      <c r="L292" s="23" t="s">
        <v>2299</v>
      </c>
      <c r="M292" s="24"/>
    </row>
    <row r="293" spans="1:13">
      <c r="A293" s="19">
        <v>292</v>
      </c>
      <c r="B293" s="19"/>
      <c r="C293" s="19"/>
      <c r="D293" s="19"/>
      <c r="E293" s="17" t="s">
        <v>2327</v>
      </c>
      <c r="F293" s="17" t="s">
        <v>2167</v>
      </c>
      <c r="G293" s="17" t="s">
        <v>394</v>
      </c>
      <c r="H293" s="18">
        <v>20345.599999999999</v>
      </c>
      <c r="I293" s="18">
        <v>7.03060022805</v>
      </c>
      <c r="J293" s="18">
        <v>143041.78</v>
      </c>
      <c r="K293" s="17" t="s">
        <v>2039</v>
      </c>
      <c r="L293" s="23" t="s">
        <v>2328</v>
      </c>
      <c r="M293" s="24"/>
    </row>
    <row r="294" spans="1:13">
      <c r="A294" s="19">
        <v>293</v>
      </c>
      <c r="B294" s="19"/>
      <c r="C294" s="19"/>
      <c r="D294" s="19"/>
      <c r="E294" s="17" t="s">
        <v>2327</v>
      </c>
      <c r="F294" s="17" t="s">
        <v>2061</v>
      </c>
      <c r="G294" s="17" t="s">
        <v>453</v>
      </c>
      <c r="H294" s="18">
        <v>60043.199999999997</v>
      </c>
      <c r="I294" s="18">
        <v>7.0305999680199998</v>
      </c>
      <c r="J294" s="18">
        <v>422139.72</v>
      </c>
      <c r="K294" s="17" t="s">
        <v>2039</v>
      </c>
      <c r="L294" s="23" t="s">
        <v>2329</v>
      </c>
      <c r="M294" s="24"/>
    </row>
    <row r="295" spans="1:13">
      <c r="A295" s="19">
        <v>294</v>
      </c>
      <c r="B295" s="19"/>
      <c r="C295" s="19"/>
      <c r="D295" s="19"/>
      <c r="E295" s="17" t="s">
        <v>2330</v>
      </c>
      <c r="F295" s="17" t="s">
        <v>2302</v>
      </c>
      <c r="G295" s="17" t="s">
        <v>394</v>
      </c>
      <c r="H295" s="18">
        <v>60536.29</v>
      </c>
      <c r="I295" s="18">
        <v>6.9672999451999997</v>
      </c>
      <c r="J295" s="18">
        <v>421774.49</v>
      </c>
      <c r="K295" s="17" t="s">
        <v>2039</v>
      </c>
      <c r="L295" s="23" t="s">
        <v>2331</v>
      </c>
      <c r="M295" s="24"/>
    </row>
    <row r="296" spans="1:13">
      <c r="A296" s="19">
        <v>295</v>
      </c>
      <c r="B296" s="19"/>
      <c r="C296" s="19"/>
      <c r="D296" s="19"/>
      <c r="E296" s="17" t="s">
        <v>2330</v>
      </c>
      <c r="F296" s="17" t="s">
        <v>2246</v>
      </c>
      <c r="G296" s="17" t="s">
        <v>394</v>
      </c>
      <c r="H296" s="18">
        <v>34253.54</v>
      </c>
      <c r="I296" s="18">
        <v>6.9673000221199999</v>
      </c>
      <c r="J296" s="18">
        <v>238654.69</v>
      </c>
      <c r="K296" s="17" t="s">
        <v>2039</v>
      </c>
      <c r="L296" s="23" t="s">
        <v>2332</v>
      </c>
      <c r="M296" s="24"/>
    </row>
    <row r="297" spans="1:13">
      <c r="A297" s="19">
        <v>296</v>
      </c>
      <c r="B297" s="19"/>
      <c r="C297" s="19"/>
      <c r="D297" s="19"/>
      <c r="E297" s="17" t="s">
        <v>914</v>
      </c>
      <c r="F297" s="17" t="s">
        <v>2246</v>
      </c>
      <c r="G297" s="17" t="s">
        <v>394</v>
      </c>
      <c r="H297" s="18">
        <v>12995.29</v>
      </c>
      <c r="I297" s="18">
        <v>6.9633998163899999</v>
      </c>
      <c r="J297" s="18">
        <v>90491.4</v>
      </c>
      <c r="K297" s="17" t="s">
        <v>2126</v>
      </c>
      <c r="L297" s="23" t="s">
        <v>2332</v>
      </c>
      <c r="M297" s="24"/>
    </row>
    <row r="298" spans="1:13">
      <c r="A298" s="19">
        <v>297</v>
      </c>
      <c r="B298" s="19"/>
      <c r="C298" s="19"/>
      <c r="D298" s="19"/>
      <c r="E298" s="17" t="s">
        <v>914</v>
      </c>
      <c r="F298" s="17" t="s">
        <v>2074</v>
      </c>
      <c r="G298" s="17" t="s">
        <v>670</v>
      </c>
      <c r="H298" s="18">
        <v>61279.68</v>
      </c>
      <c r="I298" s="18">
        <v>6.9913999224500003</v>
      </c>
      <c r="J298" s="18">
        <v>428430.75</v>
      </c>
      <c r="K298" s="17" t="s">
        <v>2039</v>
      </c>
      <c r="L298" s="23" t="s">
        <v>2333</v>
      </c>
      <c r="M298" s="24"/>
    </row>
    <row r="299" spans="1:13">
      <c r="A299" s="19">
        <v>298</v>
      </c>
      <c r="B299" s="19"/>
      <c r="C299" s="19"/>
      <c r="D299" s="19"/>
      <c r="E299" s="17" t="s">
        <v>914</v>
      </c>
      <c r="F299" s="17" t="s">
        <v>2045</v>
      </c>
      <c r="G299" s="17" t="s">
        <v>394</v>
      </c>
      <c r="H299" s="18">
        <v>15000</v>
      </c>
      <c r="I299" s="18">
        <v>6.9913999999999996</v>
      </c>
      <c r="J299" s="18">
        <v>104871</v>
      </c>
      <c r="K299" s="17" t="s">
        <v>2039</v>
      </c>
      <c r="L299" s="23" t="s">
        <v>2334</v>
      </c>
      <c r="M299" s="24"/>
    </row>
    <row r="300" spans="1:13">
      <c r="A300" s="19">
        <v>299</v>
      </c>
      <c r="B300" s="19"/>
      <c r="C300" s="19"/>
      <c r="D300" s="19"/>
      <c r="E300" s="17" t="s">
        <v>2335</v>
      </c>
      <c r="F300" s="17" t="s">
        <v>2051</v>
      </c>
      <c r="G300" s="17" t="s">
        <v>690</v>
      </c>
      <c r="H300" s="18">
        <v>94421.91</v>
      </c>
      <c r="I300" s="18">
        <v>6.9946999589300001</v>
      </c>
      <c r="J300" s="18">
        <v>660452.93000000005</v>
      </c>
      <c r="K300" s="17" t="s">
        <v>2039</v>
      </c>
      <c r="L300" s="23" t="s">
        <v>2336</v>
      </c>
      <c r="M300" s="24"/>
    </row>
    <row r="301" spans="1:13">
      <c r="A301" s="19">
        <v>300</v>
      </c>
      <c r="B301" s="19"/>
      <c r="C301" s="19"/>
      <c r="D301" s="19"/>
      <c r="E301" s="17" t="s">
        <v>2335</v>
      </c>
      <c r="F301" s="17" t="s">
        <v>2337</v>
      </c>
      <c r="G301" s="17" t="s">
        <v>394</v>
      </c>
      <c r="H301" s="18">
        <v>6406</v>
      </c>
      <c r="I301" s="18">
        <v>6.9947002809800001</v>
      </c>
      <c r="J301" s="18">
        <v>44808.05</v>
      </c>
      <c r="K301" s="17" t="s">
        <v>2039</v>
      </c>
      <c r="L301" s="23" t="s">
        <v>2338</v>
      </c>
      <c r="M301" s="24"/>
    </row>
    <row r="302" spans="1:13">
      <c r="A302" s="19">
        <v>301</v>
      </c>
      <c r="B302" s="19"/>
      <c r="C302" s="19"/>
      <c r="D302" s="19"/>
      <c r="E302" s="17" t="s">
        <v>2335</v>
      </c>
      <c r="F302" s="17" t="s">
        <v>2061</v>
      </c>
      <c r="G302" s="17" t="s">
        <v>453</v>
      </c>
      <c r="H302" s="18">
        <v>39445.56</v>
      </c>
      <c r="I302" s="18">
        <v>6.9947000372100003</v>
      </c>
      <c r="J302" s="18">
        <v>275909.86</v>
      </c>
      <c r="K302" s="17" t="s">
        <v>2039</v>
      </c>
      <c r="L302" s="23" t="s">
        <v>2339</v>
      </c>
      <c r="M302" s="24"/>
    </row>
    <row r="303" spans="1:13">
      <c r="A303" s="19">
        <v>302</v>
      </c>
      <c r="B303" s="19"/>
      <c r="C303" s="19"/>
      <c r="D303" s="19"/>
      <c r="E303" s="17" t="s">
        <v>2335</v>
      </c>
      <c r="F303" s="17" t="s">
        <v>2043</v>
      </c>
      <c r="G303" s="17" t="s">
        <v>394</v>
      </c>
      <c r="H303" s="18">
        <v>1632</v>
      </c>
      <c r="I303" s="18">
        <v>6.9946997549000001</v>
      </c>
      <c r="J303" s="18">
        <v>11415.35</v>
      </c>
      <c r="K303" s="17" t="s">
        <v>2039</v>
      </c>
      <c r="L303" s="23" t="s">
        <v>2340</v>
      </c>
      <c r="M303" s="24"/>
    </row>
    <row r="304" spans="1:13">
      <c r="A304" s="19">
        <v>303</v>
      </c>
      <c r="B304" s="19"/>
      <c r="C304" s="19"/>
      <c r="D304" s="19"/>
      <c r="E304" s="17" t="s">
        <v>2341</v>
      </c>
      <c r="F304" s="17" t="s">
        <v>2078</v>
      </c>
      <c r="G304" s="17" t="s">
        <v>394</v>
      </c>
      <c r="H304" s="18">
        <v>42816.28</v>
      </c>
      <c r="I304" s="18">
        <v>6.9987000271799999</v>
      </c>
      <c r="J304" s="18">
        <v>299658.3</v>
      </c>
      <c r="K304" s="17" t="s">
        <v>2039</v>
      </c>
      <c r="L304" s="23" t="s">
        <v>2342</v>
      </c>
      <c r="M304" s="24"/>
    </row>
    <row r="305" spans="1:13">
      <c r="A305" s="19">
        <v>304</v>
      </c>
      <c r="B305" s="19"/>
      <c r="C305" s="19"/>
      <c r="D305" s="19"/>
      <c r="E305" s="17" t="s">
        <v>2341</v>
      </c>
      <c r="F305" s="17" t="s">
        <v>2097</v>
      </c>
      <c r="G305" s="17" t="s">
        <v>394</v>
      </c>
      <c r="H305" s="18">
        <v>17073.14</v>
      </c>
      <c r="I305" s="18">
        <v>6.9986997119399996</v>
      </c>
      <c r="J305" s="18">
        <v>119489.78</v>
      </c>
      <c r="K305" s="17" t="s">
        <v>2039</v>
      </c>
      <c r="L305" s="23" t="s">
        <v>2343</v>
      </c>
      <c r="M305" s="24"/>
    </row>
    <row r="306" spans="1:13">
      <c r="A306" s="19">
        <v>305</v>
      </c>
      <c r="B306" s="19"/>
      <c r="C306" s="19"/>
      <c r="D306" s="19"/>
      <c r="E306" s="17" t="s">
        <v>2344</v>
      </c>
      <c r="F306" s="17" t="s">
        <v>2047</v>
      </c>
      <c r="G306" s="17" t="s">
        <v>394</v>
      </c>
      <c r="H306" s="18">
        <v>54455.23</v>
      </c>
      <c r="I306" s="18">
        <v>7.0056000130699996</v>
      </c>
      <c r="J306" s="18">
        <v>381491.56</v>
      </c>
      <c r="K306" s="17" t="s">
        <v>2039</v>
      </c>
      <c r="L306" s="23" t="s">
        <v>2315</v>
      </c>
      <c r="M306" s="24"/>
    </row>
    <row r="307" spans="1:13">
      <c r="A307" s="19">
        <v>306</v>
      </c>
      <c r="B307" s="19"/>
      <c r="C307" s="19"/>
      <c r="D307" s="19"/>
      <c r="E307" s="17" t="s">
        <v>2344</v>
      </c>
      <c r="F307" s="17" t="s">
        <v>2101</v>
      </c>
      <c r="G307" s="17" t="s">
        <v>394</v>
      </c>
      <c r="H307" s="18">
        <v>15974.23</v>
      </c>
      <c r="I307" s="18">
        <v>7.0056002699300004</v>
      </c>
      <c r="J307" s="18">
        <v>111909.07</v>
      </c>
      <c r="K307" s="17" t="s">
        <v>2039</v>
      </c>
      <c r="L307" s="23" t="s">
        <v>2295</v>
      </c>
      <c r="M307" s="24"/>
    </row>
    <row r="308" spans="1:13">
      <c r="A308" s="19">
        <v>307</v>
      </c>
      <c r="B308" s="19"/>
      <c r="C308" s="19"/>
      <c r="D308" s="19"/>
      <c r="E308" s="17" t="s">
        <v>2344</v>
      </c>
      <c r="F308" s="17" t="s">
        <v>2097</v>
      </c>
      <c r="G308" s="17" t="s">
        <v>394</v>
      </c>
      <c r="H308" s="18">
        <v>123534.84</v>
      </c>
      <c r="I308" s="18">
        <v>7.00560003963</v>
      </c>
      <c r="J308" s="18">
        <v>865435.68</v>
      </c>
      <c r="K308" s="17" t="s">
        <v>2039</v>
      </c>
      <c r="L308" s="23" t="s">
        <v>2345</v>
      </c>
      <c r="M308" s="24"/>
    </row>
    <row r="309" spans="1:13">
      <c r="A309" s="19">
        <v>308</v>
      </c>
      <c r="B309" s="19"/>
      <c r="C309" s="19"/>
      <c r="D309" s="19"/>
      <c r="E309" s="17" t="s">
        <v>2344</v>
      </c>
      <c r="F309" s="17" t="s">
        <v>2337</v>
      </c>
      <c r="G309" s="17" t="s">
        <v>394</v>
      </c>
      <c r="H309" s="18">
        <v>2575</v>
      </c>
      <c r="I309" s="18">
        <v>7.0056000000000003</v>
      </c>
      <c r="J309" s="18">
        <v>18039.419999999998</v>
      </c>
      <c r="K309" s="17" t="s">
        <v>2039</v>
      </c>
      <c r="L309" s="23" t="s">
        <v>2346</v>
      </c>
      <c r="M309" s="24"/>
    </row>
    <row r="310" spans="1:13">
      <c r="A310" s="19">
        <v>309</v>
      </c>
      <c r="B310" s="19"/>
      <c r="C310" s="19"/>
      <c r="D310" s="19"/>
      <c r="E310" s="17" t="s">
        <v>791</v>
      </c>
      <c r="F310" s="17" t="s">
        <v>2246</v>
      </c>
      <c r="G310" s="17" t="s">
        <v>394</v>
      </c>
      <c r="H310" s="18">
        <v>13886.3</v>
      </c>
      <c r="I310" s="18">
        <v>6.9977999899099999</v>
      </c>
      <c r="J310" s="18">
        <v>97173.55</v>
      </c>
      <c r="K310" s="17" t="s">
        <v>2126</v>
      </c>
      <c r="L310" s="23" t="s">
        <v>2307</v>
      </c>
      <c r="M310" s="24"/>
    </row>
    <row r="311" spans="1:13">
      <c r="A311" s="19">
        <v>310</v>
      </c>
      <c r="B311" s="19"/>
      <c r="C311" s="19"/>
      <c r="D311" s="19"/>
      <c r="E311" s="17" t="s">
        <v>791</v>
      </c>
      <c r="F311" s="17" t="s">
        <v>2246</v>
      </c>
      <c r="G311" s="17" t="s">
        <v>394</v>
      </c>
      <c r="H311" s="18">
        <v>1980</v>
      </c>
      <c r="I311" s="18">
        <v>6.9992979797899997</v>
      </c>
      <c r="J311" s="18">
        <v>13858.61</v>
      </c>
      <c r="K311" s="17" t="s">
        <v>2126</v>
      </c>
      <c r="L311" s="23" t="s">
        <v>2347</v>
      </c>
      <c r="M311" s="24"/>
    </row>
    <row r="312" spans="1:13">
      <c r="A312" s="19">
        <v>312</v>
      </c>
      <c r="B312" s="19"/>
      <c r="C312" s="19"/>
      <c r="D312" s="19"/>
      <c r="E312" s="17" t="s">
        <v>791</v>
      </c>
      <c r="F312" s="17" t="s">
        <v>2047</v>
      </c>
      <c r="G312" s="17" t="s">
        <v>394</v>
      </c>
      <c r="H312" s="18">
        <v>41886.14</v>
      </c>
      <c r="I312" s="18">
        <v>7.0051000163700001</v>
      </c>
      <c r="J312" s="18">
        <v>293416.59999999998</v>
      </c>
      <c r="K312" s="17" t="s">
        <v>2039</v>
      </c>
      <c r="L312" s="23" t="s">
        <v>2315</v>
      </c>
      <c r="M312" s="24"/>
    </row>
    <row r="313" spans="1:13">
      <c r="A313" s="19">
        <v>313</v>
      </c>
      <c r="B313" s="19"/>
      <c r="C313" s="19"/>
      <c r="D313" s="19"/>
      <c r="E313" s="17" t="s">
        <v>791</v>
      </c>
      <c r="F313" s="17" t="s">
        <v>2074</v>
      </c>
      <c r="G313" s="17" t="s">
        <v>670</v>
      </c>
      <c r="H313" s="18">
        <v>58911.34</v>
      </c>
      <c r="I313" s="18">
        <v>7.00510003676</v>
      </c>
      <c r="J313" s="18">
        <v>412679.83</v>
      </c>
      <c r="K313" s="17" t="s">
        <v>2039</v>
      </c>
      <c r="L313" s="23" t="s">
        <v>2348</v>
      </c>
      <c r="M313" s="24"/>
    </row>
    <row r="314" spans="1:13">
      <c r="A314" s="19">
        <v>314</v>
      </c>
      <c r="B314" s="20"/>
      <c r="C314" s="19"/>
      <c r="D314" s="19"/>
      <c r="E314" s="17" t="s">
        <v>2349</v>
      </c>
      <c r="F314" s="17" t="s">
        <v>2350</v>
      </c>
      <c r="G314" s="17" t="s">
        <v>387</v>
      </c>
      <c r="H314" s="18">
        <v>27342.5</v>
      </c>
      <c r="I314" s="18">
        <v>6.9848002194300003</v>
      </c>
      <c r="J314" s="18">
        <v>190981.9</v>
      </c>
      <c r="K314" s="17" t="s">
        <v>2134</v>
      </c>
      <c r="L314" s="23" t="s">
        <v>2351</v>
      </c>
      <c r="M314" s="24"/>
    </row>
    <row r="315" spans="1:13">
      <c r="A315" s="19">
        <v>315</v>
      </c>
      <c r="B315" s="20"/>
      <c r="C315" s="19"/>
      <c r="D315" s="19"/>
      <c r="E315" s="17" t="s">
        <v>2349</v>
      </c>
      <c r="F315" s="17" t="s">
        <v>2288</v>
      </c>
      <c r="G315" s="17" t="s">
        <v>394</v>
      </c>
      <c r="H315" s="18">
        <v>10793</v>
      </c>
      <c r="I315" s="18">
        <v>6.9797294542700001</v>
      </c>
      <c r="J315" s="18">
        <v>75332.22</v>
      </c>
      <c r="K315" s="17" t="s">
        <v>2134</v>
      </c>
      <c r="L315" s="23" t="s">
        <v>2289</v>
      </c>
      <c r="M315" s="24"/>
    </row>
    <row r="316" spans="1:13">
      <c r="A316" s="19">
        <v>316</v>
      </c>
      <c r="B316" s="20"/>
      <c r="C316" s="19"/>
      <c r="D316" s="19"/>
      <c r="E316" s="17" t="s">
        <v>2349</v>
      </c>
      <c r="F316" s="17" t="s">
        <v>2133</v>
      </c>
      <c r="G316" s="17" t="s">
        <v>575</v>
      </c>
      <c r="H316" s="18">
        <v>18335.05</v>
      </c>
      <c r="I316" s="18">
        <v>6.9863998189199998</v>
      </c>
      <c r="J316" s="18">
        <v>128095.99</v>
      </c>
      <c r="K316" s="17" t="s">
        <v>2134</v>
      </c>
      <c r="L316" s="23" t="s">
        <v>2227</v>
      </c>
      <c r="M316" s="24"/>
    </row>
    <row r="317" spans="1:13">
      <c r="A317" s="19">
        <v>317</v>
      </c>
      <c r="B317" s="19"/>
      <c r="C317" s="19"/>
      <c r="D317" s="19"/>
      <c r="E317" s="17" t="s">
        <v>2349</v>
      </c>
      <c r="F317" s="17" t="s">
        <v>2074</v>
      </c>
      <c r="G317" s="17" t="s">
        <v>670</v>
      </c>
      <c r="H317" s="18">
        <v>58609.48</v>
      </c>
      <c r="I317" s="18">
        <v>6.9882000317999999</v>
      </c>
      <c r="J317" s="18">
        <v>409574.77</v>
      </c>
      <c r="K317" s="17" t="s">
        <v>2039</v>
      </c>
      <c r="L317" s="23" t="s">
        <v>2348</v>
      </c>
      <c r="M317" s="24"/>
    </row>
    <row r="318" spans="1:13">
      <c r="A318" s="19">
        <v>318</v>
      </c>
      <c r="B318" s="19"/>
      <c r="C318" s="19"/>
      <c r="D318" s="19"/>
      <c r="E318" s="17" t="s">
        <v>2349</v>
      </c>
      <c r="F318" s="17" t="s">
        <v>2246</v>
      </c>
      <c r="G318" s="17" t="s">
        <v>394</v>
      </c>
      <c r="H318" s="18">
        <v>15943.13</v>
      </c>
      <c r="I318" s="18">
        <v>6.9881999331299998</v>
      </c>
      <c r="J318" s="18">
        <v>111413.78</v>
      </c>
      <c r="K318" s="17" t="s">
        <v>2039</v>
      </c>
      <c r="L318" s="23" t="s">
        <v>2352</v>
      </c>
      <c r="M318" s="24"/>
    </row>
    <row r="319" spans="1:13">
      <c r="A319" s="19">
        <v>319</v>
      </c>
      <c r="B319" s="19"/>
      <c r="C319" s="19"/>
      <c r="D319" s="19"/>
      <c r="E319" s="17" t="s">
        <v>2349</v>
      </c>
      <c r="F319" s="17" t="s">
        <v>2246</v>
      </c>
      <c r="G319" s="17" t="s">
        <v>394</v>
      </c>
      <c r="H319" s="18">
        <v>14756.74</v>
      </c>
      <c r="I319" s="18">
        <v>6.9957998853400003</v>
      </c>
      <c r="J319" s="18">
        <v>103235.2</v>
      </c>
      <c r="K319" s="17" t="s">
        <v>2126</v>
      </c>
      <c r="L319" s="23" t="s">
        <v>2314</v>
      </c>
      <c r="M319" s="24"/>
    </row>
    <row r="320" spans="1:13">
      <c r="A320" s="19">
        <v>320</v>
      </c>
      <c r="B320" s="19"/>
      <c r="C320" s="19"/>
      <c r="D320" s="19"/>
      <c r="E320" s="17" t="s">
        <v>2353</v>
      </c>
      <c r="F320" s="17" t="s">
        <v>2061</v>
      </c>
      <c r="G320" s="17" t="s">
        <v>453</v>
      </c>
      <c r="H320" s="18">
        <v>99821.2</v>
      </c>
      <c r="I320" s="18">
        <v>6.9921999535100001</v>
      </c>
      <c r="J320" s="18">
        <v>697969.79</v>
      </c>
      <c r="K320" s="17" t="s">
        <v>2039</v>
      </c>
      <c r="L320" s="23" t="s">
        <v>2354</v>
      </c>
      <c r="M320" s="24"/>
    </row>
    <row r="321" spans="1:13">
      <c r="A321" s="19">
        <v>321</v>
      </c>
      <c r="B321" s="19"/>
      <c r="C321" s="19"/>
      <c r="D321" s="19"/>
      <c r="E321" s="17" t="s">
        <v>2353</v>
      </c>
      <c r="F321" s="17" t="s">
        <v>2097</v>
      </c>
      <c r="G321" s="17" t="s">
        <v>394</v>
      </c>
      <c r="H321" s="18">
        <v>19030.34</v>
      </c>
      <c r="I321" s="18">
        <v>6.9921998240700001</v>
      </c>
      <c r="J321" s="18">
        <v>133063.94</v>
      </c>
      <c r="K321" s="17" t="s">
        <v>2039</v>
      </c>
      <c r="L321" s="23" t="s">
        <v>2355</v>
      </c>
      <c r="M321" s="24"/>
    </row>
    <row r="322" spans="1:13">
      <c r="A322" s="19">
        <v>322</v>
      </c>
      <c r="B322" s="19"/>
      <c r="C322" s="19"/>
      <c r="D322" s="19"/>
      <c r="E322" s="17" t="s">
        <v>2353</v>
      </c>
      <c r="F322" s="17" t="s">
        <v>2078</v>
      </c>
      <c r="G322" s="17" t="s">
        <v>394</v>
      </c>
      <c r="H322" s="18">
        <v>22409.89</v>
      </c>
      <c r="I322" s="18">
        <v>6.9921998724599996</v>
      </c>
      <c r="J322" s="18">
        <v>156694.43</v>
      </c>
      <c r="K322" s="17" t="s">
        <v>2039</v>
      </c>
      <c r="L322" s="23" t="s">
        <v>2356</v>
      </c>
      <c r="M322" s="24"/>
    </row>
    <row r="323" spans="1:13">
      <c r="A323" s="19">
        <v>323</v>
      </c>
      <c r="B323" s="19"/>
      <c r="C323" s="19"/>
      <c r="D323" s="19"/>
      <c r="E323" s="17" t="s">
        <v>2353</v>
      </c>
      <c r="F323" s="17" t="s">
        <v>2078</v>
      </c>
      <c r="G323" s="17" t="s">
        <v>394</v>
      </c>
      <c r="H323" s="18">
        <v>27332.67</v>
      </c>
      <c r="I323" s="18">
        <v>6.9922001765599999</v>
      </c>
      <c r="J323" s="18">
        <v>191115.5</v>
      </c>
      <c r="K323" s="17" t="s">
        <v>2039</v>
      </c>
      <c r="L323" s="23" t="s">
        <v>2357</v>
      </c>
      <c r="M323" s="24"/>
    </row>
    <row r="324" spans="1:13">
      <c r="A324" s="19">
        <v>324</v>
      </c>
      <c r="B324" s="19"/>
      <c r="C324" s="19"/>
      <c r="D324" s="19"/>
      <c r="E324" s="17" t="s">
        <v>2353</v>
      </c>
      <c r="F324" s="17" t="s">
        <v>2078</v>
      </c>
      <c r="G324" s="17" t="s">
        <v>394</v>
      </c>
      <c r="H324" s="18">
        <v>21433.7</v>
      </c>
      <c r="I324" s="18">
        <v>6.9922001334299999</v>
      </c>
      <c r="J324" s="18">
        <v>149868.72</v>
      </c>
      <c r="K324" s="17" t="s">
        <v>2039</v>
      </c>
      <c r="L324" s="23" t="s">
        <v>2358</v>
      </c>
      <c r="M324" s="24"/>
    </row>
    <row r="325" spans="1:13">
      <c r="A325" s="19">
        <v>325</v>
      </c>
      <c r="B325" s="19"/>
      <c r="C325" s="19"/>
      <c r="D325" s="19"/>
      <c r="E325" s="17" t="s">
        <v>2353</v>
      </c>
      <c r="F325" s="17" t="s">
        <v>2089</v>
      </c>
      <c r="G325" s="17" t="s">
        <v>394</v>
      </c>
      <c r="H325" s="18">
        <v>6879</v>
      </c>
      <c r="I325" s="18">
        <v>6.9921005960100002</v>
      </c>
      <c r="J325" s="18">
        <v>48098.66</v>
      </c>
      <c r="K325" s="17" t="s">
        <v>2039</v>
      </c>
      <c r="L325" s="23" t="s">
        <v>2359</v>
      </c>
      <c r="M325" s="24"/>
    </row>
    <row r="326" spans="1:13">
      <c r="A326" s="19">
        <v>326</v>
      </c>
      <c r="B326" s="19"/>
      <c r="C326" s="19"/>
      <c r="D326" s="19"/>
      <c r="E326" s="17" t="s">
        <v>2353</v>
      </c>
      <c r="F326" s="17" t="s">
        <v>2360</v>
      </c>
      <c r="G326" s="17" t="s">
        <v>411</v>
      </c>
      <c r="H326" s="18">
        <v>11224.25</v>
      </c>
      <c r="I326" s="18">
        <v>6.9921001403199998</v>
      </c>
      <c r="J326" s="18">
        <v>78481.08</v>
      </c>
      <c r="K326" s="17" t="s">
        <v>2039</v>
      </c>
      <c r="L326" s="23" t="s">
        <v>2361</v>
      </c>
      <c r="M326" s="24"/>
    </row>
    <row r="327" spans="1:13">
      <c r="A327" s="19">
        <v>327</v>
      </c>
      <c r="B327" s="19"/>
      <c r="C327" s="19"/>
      <c r="D327" s="19"/>
      <c r="E327" s="17" t="s">
        <v>2353</v>
      </c>
      <c r="F327" s="17" t="s">
        <v>2125</v>
      </c>
      <c r="G327" s="17" t="s">
        <v>394</v>
      </c>
      <c r="H327" s="18">
        <v>5320</v>
      </c>
      <c r="I327" s="18">
        <v>6.9818007518699998</v>
      </c>
      <c r="J327" s="18">
        <v>37143.18</v>
      </c>
      <c r="K327" s="17" t="s">
        <v>2126</v>
      </c>
      <c r="L327" s="23" t="s">
        <v>2362</v>
      </c>
      <c r="M327" s="24"/>
    </row>
    <row r="328" spans="1:13">
      <c r="A328" s="19">
        <v>328</v>
      </c>
      <c r="B328" s="19"/>
      <c r="C328" s="19"/>
      <c r="D328" s="19"/>
      <c r="E328" s="17" t="s">
        <v>2353</v>
      </c>
      <c r="F328" s="17" t="s">
        <v>2246</v>
      </c>
      <c r="G328" s="17" t="s">
        <v>394</v>
      </c>
      <c r="H328" s="18">
        <v>3980</v>
      </c>
      <c r="I328" s="18">
        <v>6.98679899497</v>
      </c>
      <c r="J328" s="18">
        <v>27807.46</v>
      </c>
      <c r="K328" s="17" t="s">
        <v>2039</v>
      </c>
      <c r="L328" s="23" t="s">
        <v>2363</v>
      </c>
      <c r="M328" s="24"/>
    </row>
    <row r="329" spans="1:13">
      <c r="A329" s="19">
        <v>329</v>
      </c>
      <c r="B329" s="19"/>
      <c r="C329" s="19"/>
      <c r="D329" s="19"/>
      <c r="E329" s="17" t="s">
        <v>2364</v>
      </c>
      <c r="F329" s="17" t="s">
        <v>2054</v>
      </c>
      <c r="G329" s="17" t="s">
        <v>453</v>
      </c>
      <c r="H329" s="18">
        <v>20223.62</v>
      </c>
      <c r="I329" s="18">
        <v>6.9878997924200004</v>
      </c>
      <c r="J329" s="18">
        <v>141320.63</v>
      </c>
      <c r="K329" s="17" t="s">
        <v>2039</v>
      </c>
      <c r="L329" s="23" t="s">
        <v>2365</v>
      </c>
      <c r="M329" s="24"/>
    </row>
    <row r="330" spans="1:13">
      <c r="A330" s="19">
        <v>330</v>
      </c>
      <c r="B330" s="19"/>
      <c r="C330" s="19"/>
      <c r="D330" s="19"/>
      <c r="E330" s="17" t="s">
        <v>2364</v>
      </c>
      <c r="F330" s="17" t="s">
        <v>2041</v>
      </c>
      <c r="G330" s="17" t="s">
        <v>453</v>
      </c>
      <c r="H330" s="18">
        <v>36917.040000000001</v>
      </c>
      <c r="I330" s="18">
        <v>6.9878998966300001</v>
      </c>
      <c r="J330" s="18">
        <v>257972.58</v>
      </c>
      <c r="K330" s="17" t="s">
        <v>2039</v>
      </c>
      <c r="L330" s="23" t="s">
        <v>2366</v>
      </c>
      <c r="M330" s="24"/>
    </row>
    <row r="331" spans="1:13">
      <c r="A331" s="19">
        <v>331</v>
      </c>
      <c r="B331" s="19"/>
      <c r="C331" s="19"/>
      <c r="D331" s="19"/>
      <c r="E331" s="17" t="s">
        <v>2364</v>
      </c>
      <c r="F331" s="17" t="s">
        <v>2061</v>
      </c>
      <c r="G331" s="17" t="s">
        <v>453</v>
      </c>
      <c r="H331" s="18">
        <v>17729.28</v>
      </c>
      <c r="I331" s="18">
        <v>6.9879002418500002</v>
      </c>
      <c r="J331" s="18">
        <v>123890.44</v>
      </c>
      <c r="K331" s="17" t="s">
        <v>2039</v>
      </c>
      <c r="L331" s="23" t="s">
        <v>2367</v>
      </c>
      <c r="M331" s="24"/>
    </row>
    <row r="332" spans="1:13">
      <c r="A332" s="19">
        <v>332</v>
      </c>
      <c r="B332" s="19"/>
      <c r="C332" s="19"/>
      <c r="D332" s="19"/>
      <c r="E332" s="17" t="s">
        <v>2368</v>
      </c>
      <c r="F332" s="17" t="s">
        <v>2045</v>
      </c>
      <c r="G332" s="17" t="s">
        <v>394</v>
      </c>
      <c r="H332" s="18">
        <v>5000</v>
      </c>
      <c r="I332" s="18">
        <v>6.9705000000000004</v>
      </c>
      <c r="J332" s="18">
        <v>34852.5</v>
      </c>
      <c r="K332" s="17" t="s">
        <v>2039</v>
      </c>
      <c r="L332" s="23" t="s">
        <v>2369</v>
      </c>
      <c r="M332" s="24"/>
    </row>
    <row r="333" spans="1:13">
      <c r="A333" s="19">
        <v>333</v>
      </c>
      <c r="B333" s="19"/>
      <c r="C333" s="19"/>
      <c r="D333" s="19"/>
      <c r="E333" s="17" t="s">
        <v>2368</v>
      </c>
      <c r="F333" s="17" t="s">
        <v>2056</v>
      </c>
      <c r="G333" s="17" t="s">
        <v>394</v>
      </c>
      <c r="H333" s="18">
        <v>17636.54</v>
      </c>
      <c r="I333" s="18">
        <v>6.9704998826300004</v>
      </c>
      <c r="J333" s="18">
        <v>122935.5</v>
      </c>
      <c r="K333" s="17" t="s">
        <v>2039</v>
      </c>
      <c r="L333" s="23" t="s">
        <v>2370</v>
      </c>
      <c r="M333" s="24"/>
    </row>
    <row r="334" spans="1:13">
      <c r="A334" s="19">
        <v>334</v>
      </c>
      <c r="B334" s="19"/>
      <c r="C334" s="19"/>
      <c r="D334" s="19"/>
      <c r="E334" s="17" t="s">
        <v>2368</v>
      </c>
      <c r="F334" s="17" t="s">
        <v>2165</v>
      </c>
      <c r="G334" s="17" t="s">
        <v>394</v>
      </c>
      <c r="H334" s="18">
        <v>14136.18</v>
      </c>
      <c r="I334" s="18">
        <v>6.9704998096999997</v>
      </c>
      <c r="J334" s="18">
        <v>98536.24</v>
      </c>
      <c r="K334" s="17" t="s">
        <v>2039</v>
      </c>
      <c r="L334" s="23" t="s">
        <v>2371</v>
      </c>
      <c r="M334" s="24"/>
    </row>
    <row r="335" spans="1:13">
      <c r="A335" s="19">
        <v>335</v>
      </c>
      <c r="B335" s="19"/>
      <c r="C335" s="19"/>
      <c r="D335" s="19"/>
      <c r="E335" s="17" t="s">
        <v>2368</v>
      </c>
      <c r="F335" s="17" t="s">
        <v>2078</v>
      </c>
      <c r="G335" s="17" t="s">
        <v>394</v>
      </c>
      <c r="H335" s="18">
        <v>13106.28</v>
      </c>
      <c r="I335" s="18">
        <v>6.9704996383399997</v>
      </c>
      <c r="J335" s="18">
        <v>91357.32</v>
      </c>
      <c r="K335" s="17" t="s">
        <v>2039</v>
      </c>
      <c r="L335" s="23" t="s">
        <v>2325</v>
      </c>
      <c r="M335" s="24"/>
    </row>
    <row r="336" spans="1:13">
      <c r="A336" s="19">
        <v>336</v>
      </c>
      <c r="B336" s="19"/>
      <c r="C336" s="19"/>
      <c r="D336" s="19"/>
      <c r="E336" s="17" t="s">
        <v>2368</v>
      </c>
      <c r="F336" s="17" t="s">
        <v>2337</v>
      </c>
      <c r="G336" s="17" t="s">
        <v>394</v>
      </c>
      <c r="H336" s="18">
        <v>23932.12</v>
      </c>
      <c r="I336" s="18">
        <v>6.9704998971999999</v>
      </c>
      <c r="J336" s="18">
        <v>166818.84</v>
      </c>
      <c r="K336" s="17" t="s">
        <v>2039</v>
      </c>
      <c r="L336" s="23" t="s">
        <v>2338</v>
      </c>
      <c r="M336" s="24"/>
    </row>
    <row r="337" spans="1:13">
      <c r="A337" s="19">
        <v>337</v>
      </c>
      <c r="B337" s="19"/>
      <c r="C337" s="19"/>
      <c r="D337" s="19"/>
      <c r="E337" s="17" t="s">
        <v>2368</v>
      </c>
      <c r="F337" s="17" t="s">
        <v>2067</v>
      </c>
      <c r="G337" s="17" t="s">
        <v>575</v>
      </c>
      <c r="H337" s="18">
        <v>6654</v>
      </c>
      <c r="I337" s="18">
        <v>6.9705004508500004</v>
      </c>
      <c r="J337" s="18">
        <v>46381.71</v>
      </c>
      <c r="K337" s="17" t="s">
        <v>2039</v>
      </c>
      <c r="L337" s="23" t="s">
        <v>2372</v>
      </c>
      <c r="M337" s="24"/>
    </row>
    <row r="338" spans="1:13">
      <c r="A338" s="19">
        <v>338</v>
      </c>
      <c r="B338" s="19"/>
      <c r="C338" s="19"/>
      <c r="D338" s="19"/>
      <c r="E338" s="17" t="s">
        <v>2368</v>
      </c>
      <c r="F338" s="17" t="s">
        <v>2302</v>
      </c>
      <c r="G338" s="17" t="s">
        <v>394</v>
      </c>
      <c r="H338" s="18">
        <v>28918.3</v>
      </c>
      <c r="I338" s="18">
        <v>6.9714001168799999</v>
      </c>
      <c r="J338" s="18">
        <v>201601.04</v>
      </c>
      <c r="K338" s="17" t="s">
        <v>2039</v>
      </c>
      <c r="L338" s="23" t="s">
        <v>2096</v>
      </c>
      <c r="M338" s="24"/>
    </row>
    <row r="339" spans="1:13">
      <c r="A339" s="19">
        <v>339</v>
      </c>
      <c r="B339" s="19"/>
      <c r="C339" s="19"/>
      <c r="D339" s="19"/>
      <c r="E339" s="17" t="s">
        <v>2368</v>
      </c>
      <c r="F339" s="17" t="s">
        <v>2078</v>
      </c>
      <c r="G339" s="17" t="s">
        <v>394</v>
      </c>
      <c r="H339" s="18">
        <v>67939.490000000005</v>
      </c>
      <c r="I339" s="18">
        <v>6.9713999913700002</v>
      </c>
      <c r="J339" s="18">
        <v>473633.36</v>
      </c>
      <c r="K339" s="17" t="s">
        <v>2039</v>
      </c>
      <c r="L339" s="23" t="s">
        <v>2373</v>
      </c>
      <c r="M339" s="24"/>
    </row>
    <row r="340" spans="1:13">
      <c r="A340" s="19">
        <v>340</v>
      </c>
      <c r="B340" s="19"/>
      <c r="C340" s="19"/>
      <c r="D340" s="19"/>
      <c r="E340" s="17" t="s">
        <v>2374</v>
      </c>
      <c r="F340" s="17" t="s">
        <v>2375</v>
      </c>
      <c r="G340" s="17" t="s">
        <v>459</v>
      </c>
      <c r="H340" s="18">
        <v>122901.32</v>
      </c>
      <c r="I340" s="18">
        <v>6.9461000093400003</v>
      </c>
      <c r="J340" s="18">
        <v>853684.86</v>
      </c>
      <c r="K340" s="17" t="s">
        <v>2039</v>
      </c>
      <c r="L340" s="23" t="s">
        <v>2376</v>
      </c>
      <c r="M340" s="24"/>
    </row>
    <row r="341" spans="1:13">
      <c r="A341" s="19">
        <v>341</v>
      </c>
      <c r="B341" s="19"/>
      <c r="C341" s="19"/>
      <c r="D341" s="19"/>
      <c r="E341" s="17" t="s">
        <v>2374</v>
      </c>
      <c r="F341" s="17" t="s">
        <v>2051</v>
      </c>
      <c r="G341" s="17" t="s">
        <v>690</v>
      </c>
      <c r="H341" s="18">
        <v>73536.490000000005</v>
      </c>
      <c r="I341" s="18">
        <v>6.9460999566300003</v>
      </c>
      <c r="J341" s="18">
        <v>510791.81</v>
      </c>
      <c r="K341" s="17" t="s">
        <v>2039</v>
      </c>
      <c r="L341" s="23" t="s">
        <v>2377</v>
      </c>
      <c r="M341" s="24"/>
    </row>
    <row r="342" spans="1:13">
      <c r="A342" s="19">
        <v>342</v>
      </c>
      <c r="B342" s="19"/>
      <c r="C342" s="19"/>
      <c r="D342" s="19"/>
      <c r="E342" s="17" t="s">
        <v>2378</v>
      </c>
      <c r="F342" s="17" t="s">
        <v>2061</v>
      </c>
      <c r="G342" s="17" t="s">
        <v>453</v>
      </c>
      <c r="H342" s="18">
        <v>57275.88</v>
      </c>
      <c r="I342" s="18">
        <v>6.9396000550299997</v>
      </c>
      <c r="J342" s="18">
        <v>397471.7</v>
      </c>
      <c r="K342" s="17" t="s">
        <v>2039</v>
      </c>
      <c r="L342" s="23" t="s">
        <v>2379</v>
      </c>
      <c r="M342" s="24"/>
    </row>
    <row r="343" spans="1:13">
      <c r="A343" s="19">
        <v>343</v>
      </c>
      <c r="B343" s="19"/>
      <c r="C343" s="19"/>
      <c r="D343" s="19"/>
      <c r="E343" s="17" t="s">
        <v>2378</v>
      </c>
      <c r="F343" s="17" t="s">
        <v>2101</v>
      </c>
      <c r="G343" s="17" t="s">
        <v>394</v>
      </c>
      <c r="H343" s="18">
        <v>14589.73</v>
      </c>
      <c r="I343" s="18">
        <v>6.9395999788799996</v>
      </c>
      <c r="J343" s="18">
        <v>101246.89</v>
      </c>
      <c r="K343" s="17" t="s">
        <v>2039</v>
      </c>
      <c r="L343" s="23" t="s">
        <v>2323</v>
      </c>
      <c r="M343" s="24"/>
    </row>
    <row r="344" spans="1:13">
      <c r="A344" s="19">
        <v>344</v>
      </c>
      <c r="B344" s="19"/>
      <c r="C344" s="19"/>
      <c r="D344" s="19"/>
      <c r="E344" s="17" t="s">
        <v>2378</v>
      </c>
      <c r="F344" s="17" t="s">
        <v>2041</v>
      </c>
      <c r="G344" s="17" t="s">
        <v>453</v>
      </c>
      <c r="H344" s="18">
        <v>18143.919999999998</v>
      </c>
      <c r="I344" s="18">
        <v>6.9396001525499997</v>
      </c>
      <c r="J344" s="18">
        <v>125911.55</v>
      </c>
      <c r="K344" s="17" t="s">
        <v>2039</v>
      </c>
      <c r="L344" s="23" t="s">
        <v>2380</v>
      </c>
      <c r="M344" s="24"/>
    </row>
    <row r="345" spans="1:13">
      <c r="A345" s="19">
        <v>345</v>
      </c>
      <c r="B345" s="19"/>
      <c r="C345" s="19"/>
      <c r="D345" s="19"/>
      <c r="E345" s="17" t="s">
        <v>2378</v>
      </c>
      <c r="F345" s="17" t="s">
        <v>2101</v>
      </c>
      <c r="G345" s="17" t="s">
        <v>394</v>
      </c>
      <c r="H345" s="18">
        <v>6985</v>
      </c>
      <c r="I345" s="18">
        <v>6.9396005726499999</v>
      </c>
      <c r="J345" s="18">
        <v>48473.11</v>
      </c>
      <c r="K345" s="17" t="s">
        <v>2039</v>
      </c>
      <c r="L345" s="23" t="s">
        <v>2381</v>
      </c>
      <c r="M345" s="24"/>
    </row>
    <row r="346" spans="1:13">
      <c r="A346" s="19">
        <v>346</v>
      </c>
      <c r="B346" s="19"/>
      <c r="C346" s="19"/>
      <c r="D346" s="19"/>
      <c r="E346" s="17" t="s">
        <v>2382</v>
      </c>
      <c r="F346" s="17" t="s">
        <v>2045</v>
      </c>
      <c r="G346" s="17" t="s">
        <v>394</v>
      </c>
      <c r="H346" s="18">
        <v>36881.06</v>
      </c>
      <c r="I346" s="18">
        <v>6.9290999228299999</v>
      </c>
      <c r="J346" s="18">
        <v>255552.55</v>
      </c>
      <c r="K346" s="17" t="s">
        <v>2039</v>
      </c>
      <c r="L346" s="23" t="s">
        <v>2369</v>
      </c>
      <c r="M346" s="24"/>
    </row>
    <row r="347" spans="1:13">
      <c r="A347" s="19">
        <v>347</v>
      </c>
      <c r="B347" s="19"/>
      <c r="C347" s="19"/>
      <c r="D347" s="19"/>
      <c r="E347" s="17" t="s">
        <v>2382</v>
      </c>
      <c r="F347" s="17" t="s">
        <v>2043</v>
      </c>
      <c r="G347" s="17" t="s">
        <v>394</v>
      </c>
      <c r="H347" s="18">
        <v>3582</v>
      </c>
      <c r="I347" s="18">
        <v>6.9291010608499999</v>
      </c>
      <c r="J347" s="18">
        <v>24820.04</v>
      </c>
      <c r="K347" s="17" t="s">
        <v>2039</v>
      </c>
      <c r="L347" s="23" t="s">
        <v>2340</v>
      </c>
      <c r="M347" s="24"/>
    </row>
    <row r="348" spans="1:13">
      <c r="A348" s="19">
        <v>348</v>
      </c>
      <c r="B348" s="19"/>
      <c r="C348" s="19"/>
      <c r="D348" s="19"/>
      <c r="E348" s="17" t="s">
        <v>2382</v>
      </c>
      <c r="F348" s="17" t="s">
        <v>2383</v>
      </c>
      <c r="G348" s="17" t="s">
        <v>391</v>
      </c>
      <c r="H348" s="18">
        <v>3747</v>
      </c>
      <c r="I348" s="18">
        <v>6.9291006138200002</v>
      </c>
      <c r="J348" s="18">
        <v>25963.34</v>
      </c>
      <c r="K348" s="17" t="s">
        <v>2039</v>
      </c>
      <c r="L348" s="23" t="s">
        <v>2384</v>
      </c>
      <c r="M348" s="24"/>
    </row>
    <row r="349" spans="1:13">
      <c r="A349" s="19">
        <v>349</v>
      </c>
      <c r="B349" s="19"/>
      <c r="C349" s="19"/>
      <c r="D349" s="19"/>
      <c r="E349" s="17" t="s">
        <v>2385</v>
      </c>
      <c r="F349" s="17" t="s">
        <v>2167</v>
      </c>
      <c r="G349" s="17" t="s">
        <v>394</v>
      </c>
      <c r="H349" s="18">
        <v>22034.19</v>
      </c>
      <c r="I349" s="18">
        <v>6.89490015289</v>
      </c>
      <c r="J349" s="18">
        <v>151923.54</v>
      </c>
      <c r="K349" s="17" t="s">
        <v>2039</v>
      </c>
      <c r="L349" s="23" t="s">
        <v>2386</v>
      </c>
      <c r="M349" s="24"/>
    </row>
    <row r="350" spans="1:13">
      <c r="A350" s="19">
        <v>350</v>
      </c>
      <c r="B350" s="19"/>
      <c r="C350" s="19"/>
      <c r="D350" s="19"/>
      <c r="E350" s="17" t="s">
        <v>2385</v>
      </c>
      <c r="F350" s="17" t="s">
        <v>2078</v>
      </c>
      <c r="G350" s="17" t="s">
        <v>394</v>
      </c>
      <c r="H350" s="18">
        <v>14821.39</v>
      </c>
      <c r="I350" s="18">
        <v>6.8948998710599998</v>
      </c>
      <c r="J350" s="18">
        <v>102192</v>
      </c>
      <c r="K350" s="17" t="s">
        <v>2039</v>
      </c>
      <c r="L350" s="23" t="s">
        <v>2387</v>
      </c>
      <c r="M350" s="24"/>
    </row>
    <row r="351" spans="1:13">
      <c r="A351" s="19">
        <v>351</v>
      </c>
      <c r="B351" s="19"/>
      <c r="C351" s="19"/>
      <c r="D351" s="19"/>
      <c r="E351" s="17" t="s">
        <v>2385</v>
      </c>
      <c r="F351" s="17" t="s">
        <v>2097</v>
      </c>
      <c r="G351" s="17" t="s">
        <v>394</v>
      </c>
      <c r="H351" s="18">
        <v>51011.13</v>
      </c>
      <c r="I351" s="18">
        <v>6.8948999953500003</v>
      </c>
      <c r="J351" s="18">
        <v>351716.64</v>
      </c>
      <c r="K351" s="17" t="s">
        <v>2039</v>
      </c>
      <c r="L351" s="23" t="s">
        <v>2388</v>
      </c>
      <c r="M351" s="28"/>
    </row>
    <row r="352" spans="1:13">
      <c r="A352" s="19">
        <v>352</v>
      </c>
      <c r="B352" s="19"/>
      <c r="C352" s="19"/>
      <c r="D352" s="19"/>
      <c r="E352" s="17" t="s">
        <v>2385</v>
      </c>
      <c r="F352" s="17" t="s">
        <v>2056</v>
      </c>
      <c r="G352" s="17" t="s">
        <v>394</v>
      </c>
      <c r="H352" s="18">
        <v>17147.55</v>
      </c>
      <c r="I352" s="18">
        <v>6.8948998544900002</v>
      </c>
      <c r="J352" s="18">
        <v>118230.64</v>
      </c>
      <c r="K352" s="17" t="s">
        <v>2039</v>
      </c>
      <c r="L352" s="23" t="s">
        <v>2389</v>
      </c>
      <c r="M352" s="24"/>
    </row>
    <row r="353" spans="1:13">
      <c r="A353" s="19">
        <v>353</v>
      </c>
      <c r="B353" s="19"/>
      <c r="C353" s="19"/>
      <c r="D353" s="19"/>
      <c r="E353" s="17" t="s">
        <v>2385</v>
      </c>
      <c r="F353" s="17" t="s">
        <v>2047</v>
      </c>
      <c r="G353" s="17" t="s">
        <v>394</v>
      </c>
      <c r="H353" s="18">
        <v>13483.81</v>
      </c>
      <c r="I353" s="18">
        <v>6.8948998836299999</v>
      </c>
      <c r="J353" s="18">
        <v>92969.52</v>
      </c>
      <c r="K353" s="17" t="s">
        <v>2039</v>
      </c>
      <c r="L353" s="23" t="s">
        <v>2390</v>
      </c>
      <c r="M353" s="24"/>
    </row>
    <row r="354" spans="1:13">
      <c r="A354" s="19">
        <v>354</v>
      </c>
      <c r="B354" s="19"/>
      <c r="C354" s="19"/>
      <c r="D354" s="19"/>
      <c r="E354" s="17" t="s">
        <v>2385</v>
      </c>
      <c r="F354" s="17" t="s">
        <v>2201</v>
      </c>
      <c r="G354" s="17" t="s">
        <v>394</v>
      </c>
      <c r="H354" s="18">
        <v>32518.95</v>
      </c>
      <c r="I354" s="18">
        <v>6.8948997430699999</v>
      </c>
      <c r="J354" s="18">
        <v>224214.9</v>
      </c>
      <c r="K354" s="17" t="s">
        <v>2039</v>
      </c>
      <c r="L354" s="23" t="s">
        <v>2391</v>
      </c>
      <c r="M354" s="24"/>
    </row>
    <row r="355" spans="1:13">
      <c r="A355" s="19">
        <v>355</v>
      </c>
      <c r="B355" s="19"/>
      <c r="C355" s="19"/>
      <c r="D355" s="19"/>
      <c r="E355" s="17" t="s">
        <v>2385</v>
      </c>
      <c r="F355" s="17" t="s">
        <v>2041</v>
      </c>
      <c r="G355" s="17" t="s">
        <v>453</v>
      </c>
      <c r="H355" s="18">
        <v>18971.23</v>
      </c>
      <c r="I355" s="18">
        <v>6.8948998035400004</v>
      </c>
      <c r="J355" s="18">
        <v>130804.73</v>
      </c>
      <c r="K355" s="17" t="s">
        <v>2039</v>
      </c>
      <c r="L355" s="23" t="s">
        <v>2392</v>
      </c>
      <c r="M355" s="24"/>
    </row>
    <row r="356" spans="1:13">
      <c r="A356" s="19">
        <v>356</v>
      </c>
      <c r="B356" s="19"/>
      <c r="C356" s="19"/>
      <c r="D356" s="19"/>
      <c r="E356" s="17" t="s">
        <v>2393</v>
      </c>
      <c r="F356" s="17" t="s">
        <v>2043</v>
      </c>
      <c r="G356" s="17" t="s">
        <v>394</v>
      </c>
      <c r="H356" s="18">
        <v>2960.08</v>
      </c>
      <c r="I356" s="18">
        <v>6.8943001540399997</v>
      </c>
      <c r="J356" s="18">
        <v>20407.68</v>
      </c>
      <c r="K356" s="17" t="s">
        <v>2039</v>
      </c>
      <c r="L356" s="23" t="s">
        <v>2340</v>
      </c>
      <c r="M356" s="24"/>
    </row>
    <row r="357" spans="1:13">
      <c r="A357" s="19">
        <v>357</v>
      </c>
      <c r="B357" s="19"/>
      <c r="C357" s="19"/>
      <c r="D357" s="19"/>
      <c r="E357" s="17" t="s">
        <v>2393</v>
      </c>
      <c r="F357" s="17" t="s">
        <v>2394</v>
      </c>
      <c r="G357" s="17" t="s">
        <v>394</v>
      </c>
      <c r="H357" s="18">
        <v>16919.72</v>
      </c>
      <c r="I357" s="18">
        <v>6.8680001796700001</v>
      </c>
      <c r="J357" s="18">
        <v>116204.64</v>
      </c>
      <c r="K357" s="17" t="s">
        <v>2039</v>
      </c>
      <c r="L357" s="23" t="s">
        <v>2395</v>
      </c>
      <c r="M357" s="24"/>
    </row>
    <row r="358" spans="1:13">
      <c r="A358" s="19">
        <v>358</v>
      </c>
      <c r="B358" s="19"/>
      <c r="C358" s="19"/>
      <c r="D358" s="19"/>
      <c r="E358" s="17" t="s">
        <v>2396</v>
      </c>
      <c r="F358" s="17" t="s">
        <v>2061</v>
      </c>
      <c r="G358" s="17" t="s">
        <v>453</v>
      </c>
      <c r="H358" s="18">
        <v>104544.88</v>
      </c>
      <c r="I358" s="18">
        <v>6.8877999573000004</v>
      </c>
      <c r="J358" s="18">
        <v>720084.22</v>
      </c>
      <c r="K358" s="17" t="s">
        <v>2039</v>
      </c>
      <c r="L358" s="23" t="s">
        <v>2397</v>
      </c>
      <c r="M358" s="24"/>
    </row>
    <row r="359" spans="1:13">
      <c r="A359" s="19">
        <v>359</v>
      </c>
      <c r="B359" s="19"/>
      <c r="C359" s="19"/>
      <c r="D359" s="19"/>
      <c r="E359" s="17" t="s">
        <v>2398</v>
      </c>
      <c r="F359" s="17" t="s">
        <v>2051</v>
      </c>
      <c r="G359" s="17" t="s">
        <v>690</v>
      </c>
      <c r="H359" s="18">
        <v>85352.05</v>
      </c>
      <c r="I359" s="18">
        <v>6.87589999302</v>
      </c>
      <c r="J359" s="18">
        <v>586872.16</v>
      </c>
      <c r="K359" s="17" t="s">
        <v>2039</v>
      </c>
      <c r="L359" s="23" t="s">
        <v>2399</v>
      </c>
      <c r="M359" s="24"/>
    </row>
    <row r="360" spans="1:13">
      <c r="A360" s="19">
        <v>360</v>
      </c>
      <c r="B360" s="19"/>
      <c r="C360" s="19"/>
      <c r="D360" s="19"/>
      <c r="E360" s="17" t="s">
        <v>2398</v>
      </c>
      <c r="F360" s="17" t="s">
        <v>2061</v>
      </c>
      <c r="G360" s="17" t="s">
        <v>453</v>
      </c>
      <c r="H360" s="18">
        <v>119377.35</v>
      </c>
      <c r="I360" s="18">
        <v>6.87589999275</v>
      </c>
      <c r="J360" s="18">
        <v>820826.72</v>
      </c>
      <c r="K360" s="17" t="s">
        <v>2039</v>
      </c>
      <c r="L360" s="23" t="s">
        <v>2400</v>
      </c>
      <c r="M360" s="24"/>
    </row>
    <row r="361" spans="1:13">
      <c r="A361" s="19">
        <v>361</v>
      </c>
      <c r="B361" s="19"/>
      <c r="C361" s="19"/>
      <c r="D361" s="19"/>
      <c r="E361" s="17" t="s">
        <v>2398</v>
      </c>
      <c r="F361" s="17" t="s">
        <v>2078</v>
      </c>
      <c r="G361" s="17" t="s">
        <v>394</v>
      </c>
      <c r="H361" s="18">
        <v>40350.85</v>
      </c>
      <c r="I361" s="18">
        <v>6.8759000120099998</v>
      </c>
      <c r="J361" s="18">
        <v>277448.40999999997</v>
      </c>
      <c r="K361" s="17" t="s">
        <v>2039</v>
      </c>
      <c r="L361" s="23" t="s">
        <v>2401</v>
      </c>
      <c r="M361" s="28"/>
    </row>
    <row r="362" spans="1:13">
      <c r="A362" s="19">
        <v>362</v>
      </c>
      <c r="B362" s="19"/>
      <c r="C362" s="19"/>
      <c r="D362" s="19"/>
      <c r="E362" s="17" t="s">
        <v>2398</v>
      </c>
      <c r="F362" s="17" t="s">
        <v>2097</v>
      </c>
      <c r="G362" s="17" t="s">
        <v>394</v>
      </c>
      <c r="H362" s="18">
        <v>133342.37</v>
      </c>
      <c r="I362" s="18">
        <v>6.8669999640699997</v>
      </c>
      <c r="J362" s="18">
        <v>915662.05</v>
      </c>
      <c r="K362" s="17" t="s">
        <v>2039</v>
      </c>
      <c r="L362" s="23" t="s">
        <v>2402</v>
      </c>
      <c r="M362" s="28"/>
    </row>
    <row r="363" spans="1:13">
      <c r="A363" s="19">
        <v>363</v>
      </c>
      <c r="B363" s="19"/>
      <c r="C363" s="19"/>
      <c r="D363" s="19"/>
      <c r="E363" s="17" t="s">
        <v>2398</v>
      </c>
      <c r="F363" s="17" t="s">
        <v>2056</v>
      </c>
      <c r="G363" s="17" t="s">
        <v>394</v>
      </c>
      <c r="H363" s="18">
        <v>17111.2</v>
      </c>
      <c r="I363" s="18">
        <v>6.8669999766199998</v>
      </c>
      <c r="J363" s="18">
        <v>117502.61</v>
      </c>
      <c r="K363" s="17" t="s">
        <v>2039</v>
      </c>
      <c r="L363" s="23" t="s">
        <v>2370</v>
      </c>
      <c r="M363" s="24"/>
    </row>
    <row r="364" spans="1:13">
      <c r="A364" s="19">
        <v>364</v>
      </c>
      <c r="B364" s="19"/>
      <c r="C364" s="19"/>
      <c r="D364" s="19"/>
      <c r="E364" s="17" t="s">
        <v>2398</v>
      </c>
      <c r="F364" s="17" t="s">
        <v>2097</v>
      </c>
      <c r="G364" s="17" t="s">
        <v>394</v>
      </c>
      <c r="H364" s="18">
        <v>15447.77</v>
      </c>
      <c r="I364" s="18">
        <v>6.8670002207399996</v>
      </c>
      <c r="J364" s="18">
        <v>106079.84</v>
      </c>
      <c r="K364" s="17" t="s">
        <v>2039</v>
      </c>
      <c r="L364" s="23" t="s">
        <v>2256</v>
      </c>
      <c r="M364" s="28"/>
    </row>
    <row r="365" spans="1:13">
      <c r="A365" s="19">
        <v>365</v>
      </c>
      <c r="B365" s="19"/>
      <c r="C365" s="19"/>
      <c r="D365" s="19"/>
      <c r="E365" s="17" t="s">
        <v>2398</v>
      </c>
      <c r="F365" s="17" t="s">
        <v>2078</v>
      </c>
      <c r="G365" s="17" t="s">
        <v>394</v>
      </c>
      <c r="H365" s="18">
        <v>20121.79</v>
      </c>
      <c r="I365" s="18">
        <v>6.8669999040800001</v>
      </c>
      <c r="J365" s="18">
        <v>138176.32999999999</v>
      </c>
      <c r="K365" s="17" t="s">
        <v>2039</v>
      </c>
      <c r="L365" s="23" t="s">
        <v>2403</v>
      </c>
      <c r="M365" s="28"/>
    </row>
    <row r="366" spans="1:13">
      <c r="A366" s="19">
        <v>366</v>
      </c>
      <c r="B366" s="19"/>
      <c r="C366" s="19"/>
      <c r="D366" s="19"/>
      <c r="E366" s="17" t="s">
        <v>2398</v>
      </c>
      <c r="F366" s="17" t="s">
        <v>2302</v>
      </c>
      <c r="G366" s="17" t="s">
        <v>394</v>
      </c>
      <c r="H366" s="18">
        <v>46608.49</v>
      </c>
      <c r="I366" s="18">
        <v>6.8669999821900003</v>
      </c>
      <c r="J366" s="18">
        <v>320060.5</v>
      </c>
      <c r="K366" s="17" t="s">
        <v>2039</v>
      </c>
      <c r="L366" s="23" t="s">
        <v>2066</v>
      </c>
      <c r="M366" s="24"/>
    </row>
    <row r="367" spans="1:13">
      <c r="A367" s="19">
        <v>367</v>
      </c>
      <c r="B367" s="19"/>
      <c r="C367" s="19"/>
      <c r="D367" s="19"/>
      <c r="E367" s="17" t="s">
        <v>2404</v>
      </c>
      <c r="F367" s="17" t="s">
        <v>2246</v>
      </c>
      <c r="G367" s="17" t="s">
        <v>394</v>
      </c>
      <c r="H367" s="18">
        <v>36133.56</v>
      </c>
      <c r="I367" s="18">
        <v>6.8439998715800003</v>
      </c>
      <c r="J367" s="18">
        <v>247298.08</v>
      </c>
      <c r="K367" s="17" t="s">
        <v>2039</v>
      </c>
      <c r="L367" s="23" t="s">
        <v>2405</v>
      </c>
      <c r="M367" s="24"/>
    </row>
    <row r="368" spans="1:13">
      <c r="A368" s="19">
        <v>368</v>
      </c>
      <c r="B368" s="19"/>
      <c r="C368" s="19"/>
      <c r="D368" s="19"/>
      <c r="E368" s="17" t="s">
        <v>2404</v>
      </c>
      <c r="F368" s="17" t="s">
        <v>2246</v>
      </c>
      <c r="G368" s="17" t="s">
        <v>394</v>
      </c>
      <c r="H368" s="18">
        <v>6885.22</v>
      </c>
      <c r="I368" s="18">
        <v>6.8386006547299996</v>
      </c>
      <c r="J368" s="18">
        <v>47085.27</v>
      </c>
      <c r="K368" s="17" t="s">
        <v>2126</v>
      </c>
      <c r="L368" s="23" t="s">
        <v>2347</v>
      </c>
      <c r="M368" s="24"/>
    </row>
    <row r="369" spans="1:13">
      <c r="A369" s="19">
        <v>369</v>
      </c>
      <c r="B369" s="19"/>
      <c r="C369" s="19"/>
      <c r="D369" s="19"/>
      <c r="E369" s="17" t="s">
        <v>2404</v>
      </c>
      <c r="F369" s="17" t="s">
        <v>2246</v>
      </c>
      <c r="G369" s="17" t="s">
        <v>394</v>
      </c>
      <c r="H369" s="18">
        <v>1980</v>
      </c>
      <c r="I369" s="18">
        <v>6.8895</v>
      </c>
      <c r="J369" s="18">
        <v>13641.21</v>
      </c>
      <c r="K369" s="17" t="s">
        <v>2126</v>
      </c>
      <c r="L369" s="23" t="s">
        <v>2406</v>
      </c>
      <c r="M369" s="24"/>
    </row>
    <row r="370" spans="1:13">
      <c r="A370" s="19">
        <v>370</v>
      </c>
      <c r="B370" s="19"/>
      <c r="C370" s="19"/>
      <c r="D370" s="19"/>
      <c r="E370" s="17" t="s">
        <v>2404</v>
      </c>
      <c r="F370" s="17" t="s">
        <v>2078</v>
      </c>
      <c r="G370" s="17" t="s">
        <v>394</v>
      </c>
      <c r="H370" s="18">
        <v>59348.78</v>
      </c>
      <c r="I370" s="18">
        <v>6.8958000484499999</v>
      </c>
      <c r="J370" s="18">
        <v>409257.32</v>
      </c>
      <c r="K370" s="17" t="s">
        <v>2039</v>
      </c>
      <c r="L370" s="23" t="s">
        <v>2407</v>
      </c>
      <c r="M370" s="28"/>
    </row>
    <row r="371" spans="1:13">
      <c r="A371" s="19">
        <v>371</v>
      </c>
      <c r="B371" s="19"/>
      <c r="C371" s="19"/>
      <c r="D371" s="19"/>
      <c r="E371" s="17" t="s">
        <v>2404</v>
      </c>
      <c r="F371" s="17" t="s">
        <v>2246</v>
      </c>
      <c r="G371" s="17" t="s">
        <v>394</v>
      </c>
      <c r="H371" s="18">
        <v>15763.53</v>
      </c>
      <c r="I371" s="18">
        <v>6.8957999889600003</v>
      </c>
      <c r="J371" s="18">
        <v>108702.15</v>
      </c>
      <c r="K371" s="17" t="s">
        <v>2039</v>
      </c>
      <c r="L371" s="23" t="s">
        <v>2405</v>
      </c>
      <c r="M371" s="24"/>
    </row>
    <row r="372" spans="1:13">
      <c r="A372" s="19">
        <v>372</v>
      </c>
      <c r="B372" s="19"/>
      <c r="C372" s="19"/>
      <c r="D372" s="19"/>
      <c r="E372" s="17" t="s">
        <v>2404</v>
      </c>
      <c r="F372" s="17" t="s">
        <v>2041</v>
      </c>
      <c r="G372" s="17" t="s">
        <v>453</v>
      </c>
      <c r="H372" s="18">
        <v>18696.77</v>
      </c>
      <c r="I372" s="18">
        <v>6.8957001663900002</v>
      </c>
      <c r="J372" s="18">
        <v>128927.32</v>
      </c>
      <c r="K372" s="17" t="s">
        <v>2039</v>
      </c>
      <c r="L372" s="23" t="s">
        <v>2408</v>
      </c>
      <c r="M372" s="24"/>
    </row>
    <row r="373" spans="1:13">
      <c r="A373" s="19">
        <v>373</v>
      </c>
      <c r="B373" s="19"/>
      <c r="C373" s="19"/>
      <c r="D373" s="19"/>
      <c r="E373" s="17" t="s">
        <v>2404</v>
      </c>
      <c r="F373" s="17" t="s">
        <v>2054</v>
      </c>
      <c r="G373" s="17" t="s">
        <v>453</v>
      </c>
      <c r="H373" s="18">
        <v>20216.060000000001</v>
      </c>
      <c r="I373" s="18">
        <v>6.8956997555399999</v>
      </c>
      <c r="J373" s="18">
        <v>139403.88</v>
      </c>
      <c r="K373" s="17" t="s">
        <v>2039</v>
      </c>
      <c r="L373" s="23" t="s">
        <v>2409</v>
      </c>
      <c r="M373" s="24"/>
    </row>
    <row r="374" spans="1:13">
      <c r="A374" s="19">
        <v>374</v>
      </c>
      <c r="B374" s="19"/>
      <c r="C374" s="19"/>
      <c r="D374" s="19"/>
      <c r="E374" s="17" t="s">
        <v>2404</v>
      </c>
      <c r="F374" s="17" t="s">
        <v>2061</v>
      </c>
      <c r="G374" s="17" t="s">
        <v>453</v>
      </c>
      <c r="H374" s="18">
        <v>58275.53</v>
      </c>
      <c r="I374" s="18">
        <v>6.8956999618800001</v>
      </c>
      <c r="J374" s="18">
        <v>401850.57</v>
      </c>
      <c r="K374" s="17" t="s">
        <v>2039</v>
      </c>
      <c r="L374" s="23" t="s">
        <v>2410</v>
      </c>
      <c r="M374" s="24"/>
    </row>
    <row r="375" spans="1:13">
      <c r="A375" s="19">
        <v>375</v>
      </c>
      <c r="B375" s="19"/>
      <c r="C375" s="19"/>
      <c r="D375" s="19"/>
      <c r="E375" s="17" t="s">
        <v>2404</v>
      </c>
      <c r="F375" s="17" t="s">
        <v>2047</v>
      </c>
      <c r="G375" s="17" t="s">
        <v>394</v>
      </c>
      <c r="H375" s="18">
        <v>93175.05</v>
      </c>
      <c r="I375" s="18">
        <v>6.8956999754700004</v>
      </c>
      <c r="J375" s="18">
        <v>642507.18999999994</v>
      </c>
      <c r="K375" s="17" t="s">
        <v>2039</v>
      </c>
      <c r="L375" s="23" t="s">
        <v>2390</v>
      </c>
      <c r="M375" s="24"/>
    </row>
    <row r="376" spans="1:13">
      <c r="A376" s="19">
        <v>376</v>
      </c>
      <c r="B376" s="19"/>
      <c r="C376" s="19"/>
      <c r="D376" s="19"/>
      <c r="E376" s="17" t="s">
        <v>2411</v>
      </c>
      <c r="F376" s="17" t="s">
        <v>2071</v>
      </c>
      <c r="G376" s="17" t="s">
        <v>453</v>
      </c>
      <c r="H376" s="18">
        <v>19966.11</v>
      </c>
      <c r="I376" s="18">
        <v>6.8962001110799998</v>
      </c>
      <c r="J376" s="18">
        <v>137690.29</v>
      </c>
      <c r="K376" s="17" t="s">
        <v>2039</v>
      </c>
      <c r="L376" s="23" t="s">
        <v>2412</v>
      </c>
      <c r="M376" s="24"/>
    </row>
    <row r="377" spans="1:13">
      <c r="A377" s="19">
        <v>377</v>
      </c>
      <c r="B377" s="19"/>
      <c r="C377" s="19"/>
      <c r="D377" s="19"/>
      <c r="E377" s="17" t="s">
        <v>2411</v>
      </c>
      <c r="F377" s="17" t="s">
        <v>2078</v>
      </c>
      <c r="G377" s="17" t="s">
        <v>394</v>
      </c>
      <c r="H377" s="18">
        <v>19870.990000000002</v>
      </c>
      <c r="I377" s="18">
        <v>6.8970000991299996</v>
      </c>
      <c r="J377" s="18">
        <v>137050.22</v>
      </c>
      <c r="K377" s="17" t="s">
        <v>2039</v>
      </c>
      <c r="L377" s="23" t="s">
        <v>2413</v>
      </c>
      <c r="M377" s="28"/>
    </row>
    <row r="378" spans="1:13">
      <c r="A378" s="19">
        <v>378</v>
      </c>
      <c r="B378" s="19"/>
      <c r="C378" s="19"/>
      <c r="D378" s="19"/>
      <c r="E378" s="17" t="s">
        <v>2411</v>
      </c>
      <c r="F378" s="17" t="s">
        <v>2056</v>
      </c>
      <c r="G378" s="17" t="s">
        <v>394</v>
      </c>
      <c r="H378" s="18">
        <v>17176.439999999999</v>
      </c>
      <c r="I378" s="18">
        <v>6.8970001932800002</v>
      </c>
      <c r="J378" s="18">
        <v>118465.91</v>
      </c>
      <c r="K378" s="17" t="s">
        <v>2039</v>
      </c>
      <c r="L378" s="23" t="s">
        <v>2370</v>
      </c>
      <c r="M378" s="24"/>
    </row>
    <row r="379" spans="1:13">
      <c r="A379" s="19">
        <v>379</v>
      </c>
      <c r="B379" s="19"/>
      <c r="C379" s="19"/>
      <c r="D379" s="19"/>
      <c r="E379" s="17" t="s">
        <v>2411</v>
      </c>
      <c r="F379" s="17" t="s">
        <v>2097</v>
      </c>
      <c r="G379" s="17" t="s">
        <v>394</v>
      </c>
      <c r="H379" s="18">
        <v>77891.429999999993</v>
      </c>
      <c r="I379" s="18">
        <v>6.8969999652</v>
      </c>
      <c r="J379" s="18">
        <v>537217.18999999994</v>
      </c>
      <c r="K379" s="17" t="s">
        <v>2039</v>
      </c>
      <c r="L379" s="23" t="s">
        <v>2414</v>
      </c>
      <c r="M379" s="28"/>
    </row>
    <row r="380" spans="1:13">
      <c r="A380" s="19">
        <v>380</v>
      </c>
      <c r="B380" s="19"/>
      <c r="C380" s="19"/>
      <c r="D380" s="19"/>
      <c r="E380" s="17" t="s">
        <v>2411</v>
      </c>
      <c r="F380" s="17" t="s">
        <v>2097</v>
      </c>
      <c r="G380" s="17" t="s">
        <v>394</v>
      </c>
      <c r="H380" s="18">
        <v>133492.82999999999</v>
      </c>
      <c r="I380" s="18">
        <v>6.8970000111600003</v>
      </c>
      <c r="J380" s="18">
        <v>920700.05</v>
      </c>
      <c r="K380" s="17" t="s">
        <v>2039</v>
      </c>
      <c r="L380" s="23" t="s">
        <v>2415</v>
      </c>
      <c r="M380" s="28"/>
    </row>
    <row r="381" spans="1:13">
      <c r="A381" s="19">
        <v>381</v>
      </c>
      <c r="B381" s="19"/>
      <c r="C381" s="19"/>
      <c r="D381" s="19"/>
      <c r="E381" s="17" t="s">
        <v>2411</v>
      </c>
      <c r="F381" s="17" t="s">
        <v>2246</v>
      </c>
      <c r="G381" s="17" t="s">
        <v>394</v>
      </c>
      <c r="H381" s="18">
        <v>14834.55</v>
      </c>
      <c r="I381" s="18">
        <v>6.9140000876299998</v>
      </c>
      <c r="J381" s="18">
        <v>102566.08</v>
      </c>
      <c r="K381" s="17" t="s">
        <v>2126</v>
      </c>
      <c r="L381" s="23" t="s">
        <v>2363</v>
      </c>
      <c r="M381" s="24"/>
    </row>
    <row r="382" spans="1:13">
      <c r="A382" s="19">
        <v>382</v>
      </c>
      <c r="B382" s="19"/>
      <c r="C382" s="19"/>
      <c r="D382" s="19"/>
      <c r="E382" s="17" t="s">
        <v>2416</v>
      </c>
      <c r="F382" s="17" t="s">
        <v>2074</v>
      </c>
      <c r="G382" s="17" t="s">
        <v>670</v>
      </c>
      <c r="H382" s="18">
        <v>61826.17</v>
      </c>
      <c r="I382" s="18">
        <v>7.0103000072599997</v>
      </c>
      <c r="J382" s="18">
        <v>433420</v>
      </c>
      <c r="K382" s="17" t="s">
        <v>2039</v>
      </c>
      <c r="L382" s="23" t="s">
        <v>2417</v>
      </c>
      <c r="M382" s="24"/>
    </row>
    <row r="383" spans="1:13">
      <c r="A383" s="19">
        <v>383</v>
      </c>
      <c r="B383" s="19"/>
      <c r="C383" s="19"/>
      <c r="D383" s="19"/>
      <c r="E383" s="17" t="s">
        <v>2416</v>
      </c>
      <c r="F383" s="17" t="s">
        <v>2047</v>
      </c>
      <c r="G383" s="17" t="s">
        <v>394</v>
      </c>
      <c r="H383" s="18">
        <v>54530.64</v>
      </c>
      <c r="I383" s="18">
        <v>7.0103000808299996</v>
      </c>
      <c r="J383" s="18">
        <v>382276.15</v>
      </c>
      <c r="K383" s="17" t="s">
        <v>2039</v>
      </c>
      <c r="L383" s="23" t="s">
        <v>2418</v>
      </c>
      <c r="M383" s="24"/>
    </row>
    <row r="384" spans="1:13">
      <c r="A384" s="19">
        <v>384</v>
      </c>
      <c r="B384" s="19"/>
      <c r="C384" s="19"/>
      <c r="D384" s="19"/>
      <c r="E384" s="17" t="s">
        <v>2416</v>
      </c>
      <c r="F384" s="17" t="s">
        <v>2061</v>
      </c>
      <c r="G384" s="17" t="s">
        <v>453</v>
      </c>
      <c r="H384" s="18">
        <v>104217.25</v>
      </c>
      <c r="I384" s="18">
        <v>7.0103000223</v>
      </c>
      <c r="J384" s="18">
        <v>730594.19</v>
      </c>
      <c r="K384" s="17" t="s">
        <v>2039</v>
      </c>
      <c r="L384" s="23" t="s">
        <v>2419</v>
      </c>
      <c r="M384" s="24"/>
    </row>
    <row r="385" spans="1:13">
      <c r="A385" s="19">
        <v>385</v>
      </c>
      <c r="B385" s="19"/>
      <c r="C385" s="19"/>
      <c r="D385" s="19"/>
      <c r="E385" s="17" t="s">
        <v>2416</v>
      </c>
      <c r="F385" s="17" t="s">
        <v>2074</v>
      </c>
      <c r="G385" s="17" t="s">
        <v>670</v>
      </c>
      <c r="H385" s="18">
        <v>50999.37</v>
      </c>
      <c r="I385" s="18">
        <v>7.0102999311499996</v>
      </c>
      <c r="J385" s="18">
        <v>357520.88</v>
      </c>
      <c r="K385" s="17" t="s">
        <v>2039</v>
      </c>
      <c r="L385" s="23" t="s">
        <v>2420</v>
      </c>
      <c r="M385" s="24"/>
    </row>
    <row r="386" spans="1:13">
      <c r="A386" s="19">
        <v>386</v>
      </c>
      <c r="B386" s="19"/>
      <c r="C386" s="19"/>
      <c r="D386" s="19"/>
      <c r="E386" s="17" t="s">
        <v>2416</v>
      </c>
      <c r="F386" s="17" t="s">
        <v>2041</v>
      </c>
      <c r="G386" s="17" t="s">
        <v>453</v>
      </c>
      <c r="H386" s="18">
        <v>20168.05</v>
      </c>
      <c r="I386" s="18">
        <v>7.0102999546299998</v>
      </c>
      <c r="J386" s="18">
        <v>141384.07999999999</v>
      </c>
      <c r="K386" s="17" t="s">
        <v>2039</v>
      </c>
      <c r="L386" s="23" t="s">
        <v>2421</v>
      </c>
      <c r="M386" s="24"/>
    </row>
    <row r="387" spans="1:13">
      <c r="A387" s="19">
        <v>387</v>
      </c>
      <c r="B387" s="19"/>
      <c r="C387" s="19"/>
      <c r="D387" s="19"/>
      <c r="E387" s="17" t="s">
        <v>2416</v>
      </c>
      <c r="F387" s="17" t="s">
        <v>2383</v>
      </c>
      <c r="G387" s="17" t="s">
        <v>391</v>
      </c>
      <c r="H387" s="18">
        <v>18556.009999999998</v>
      </c>
      <c r="I387" s="18">
        <v>7.0103001668999996</v>
      </c>
      <c r="J387" s="18">
        <v>130083.2</v>
      </c>
      <c r="K387" s="17" t="s">
        <v>2039</v>
      </c>
      <c r="L387" s="23" t="s">
        <v>2384</v>
      </c>
      <c r="M387" s="24"/>
    </row>
    <row r="388" spans="1:13">
      <c r="A388" s="19">
        <v>388</v>
      </c>
      <c r="B388" s="19"/>
      <c r="C388" s="19"/>
      <c r="D388" s="19"/>
      <c r="E388" s="17" t="s">
        <v>2416</v>
      </c>
      <c r="F388" s="17" t="s">
        <v>2078</v>
      </c>
      <c r="G388" s="17" t="s">
        <v>394</v>
      </c>
      <c r="H388" s="18">
        <v>42639.34</v>
      </c>
      <c r="I388" s="18">
        <v>7.0102998779899997</v>
      </c>
      <c r="J388" s="18">
        <v>298914.56</v>
      </c>
      <c r="K388" s="17" t="s">
        <v>2039</v>
      </c>
      <c r="L388" s="23" t="s">
        <v>2250</v>
      </c>
      <c r="M388" s="24"/>
    </row>
    <row r="389" spans="1:13">
      <c r="A389" s="19">
        <v>389</v>
      </c>
      <c r="B389" s="19"/>
      <c r="C389" s="19"/>
      <c r="D389" s="19"/>
      <c r="E389" s="17" t="s">
        <v>2416</v>
      </c>
      <c r="F389" s="17" t="s">
        <v>2422</v>
      </c>
      <c r="G389" s="17" t="s">
        <v>453</v>
      </c>
      <c r="H389" s="18">
        <v>18917.52</v>
      </c>
      <c r="I389" s="18">
        <v>7.0102999758899998</v>
      </c>
      <c r="J389" s="18">
        <v>132617.49</v>
      </c>
      <c r="K389" s="17" t="s">
        <v>2039</v>
      </c>
      <c r="L389" s="23" t="s">
        <v>2423</v>
      </c>
      <c r="M389" s="24"/>
    </row>
    <row r="390" spans="1:13">
      <c r="A390" s="19">
        <v>390</v>
      </c>
      <c r="B390" s="19"/>
      <c r="C390" s="19"/>
      <c r="D390" s="19"/>
      <c r="E390" s="17" t="s">
        <v>2416</v>
      </c>
      <c r="F390" s="17" t="s">
        <v>2097</v>
      </c>
      <c r="G390" s="17" t="s">
        <v>394</v>
      </c>
      <c r="H390" s="18">
        <v>19849.330000000002</v>
      </c>
      <c r="I390" s="18">
        <v>7.0103000957699999</v>
      </c>
      <c r="J390" s="18">
        <v>139149.76000000001</v>
      </c>
      <c r="K390" s="17" t="s">
        <v>2039</v>
      </c>
      <c r="L390" s="23" t="s">
        <v>2424</v>
      </c>
      <c r="M390" s="28"/>
    </row>
    <row r="391" spans="1:13">
      <c r="A391" s="19">
        <v>391</v>
      </c>
      <c r="B391" s="19"/>
      <c r="C391" s="19"/>
      <c r="D391" s="19"/>
      <c r="E391" s="17" t="s">
        <v>2416</v>
      </c>
      <c r="F391" s="17" t="s">
        <v>2078</v>
      </c>
      <c r="G391" s="17" t="s">
        <v>394</v>
      </c>
      <c r="H391" s="18">
        <v>34199.97</v>
      </c>
      <c r="I391" s="18">
        <v>7.0103000090299998</v>
      </c>
      <c r="J391" s="18">
        <v>239752.05</v>
      </c>
      <c r="K391" s="17" t="s">
        <v>2039</v>
      </c>
      <c r="L391" s="23" t="s">
        <v>2425</v>
      </c>
      <c r="M391" s="28"/>
    </row>
    <row r="392" spans="1:13">
      <c r="A392" s="19">
        <v>392</v>
      </c>
      <c r="B392" s="19"/>
      <c r="C392" s="19"/>
      <c r="D392" s="19"/>
      <c r="E392" s="17" t="s">
        <v>2416</v>
      </c>
      <c r="F392" s="17" t="s">
        <v>2167</v>
      </c>
      <c r="G392" s="17" t="s">
        <v>394</v>
      </c>
      <c r="H392" s="18">
        <v>19112.310000000001</v>
      </c>
      <c r="I392" s="18">
        <v>7.0103001677899996</v>
      </c>
      <c r="J392" s="18">
        <v>133983.01999999999</v>
      </c>
      <c r="K392" s="17" t="s">
        <v>2039</v>
      </c>
      <c r="L392" s="23" t="s">
        <v>2426</v>
      </c>
      <c r="M392" s="24"/>
    </row>
    <row r="393" spans="1:13">
      <c r="A393" s="19">
        <v>393</v>
      </c>
      <c r="B393" s="19"/>
      <c r="C393" s="19"/>
      <c r="D393" s="19"/>
      <c r="E393" s="17" t="s">
        <v>2427</v>
      </c>
      <c r="F393" s="17" t="s">
        <v>2047</v>
      </c>
      <c r="G393" s="17" t="s">
        <v>394</v>
      </c>
      <c r="H393" s="18">
        <v>53860.11</v>
      </c>
      <c r="I393" s="18">
        <v>6.9735000541199996</v>
      </c>
      <c r="J393" s="18">
        <v>375593.48</v>
      </c>
      <c r="K393" s="17" t="s">
        <v>2039</v>
      </c>
      <c r="L393" s="23" t="s">
        <v>2428</v>
      </c>
      <c r="M393" s="24"/>
    </row>
    <row r="394" spans="1:13">
      <c r="A394" s="19">
        <v>394</v>
      </c>
      <c r="B394" s="19"/>
      <c r="C394" s="19"/>
      <c r="D394" s="19"/>
      <c r="E394" s="17" t="s">
        <v>2427</v>
      </c>
      <c r="F394" s="17" t="s">
        <v>2101</v>
      </c>
      <c r="G394" s="17" t="s">
        <v>394</v>
      </c>
      <c r="H394" s="18">
        <v>16608.400000000001</v>
      </c>
      <c r="I394" s="18">
        <v>6.9735001565400001</v>
      </c>
      <c r="J394" s="18">
        <v>115818.68</v>
      </c>
      <c r="K394" s="17" t="s">
        <v>2039</v>
      </c>
      <c r="L394" s="23" t="s">
        <v>2381</v>
      </c>
      <c r="M394" s="24"/>
    </row>
    <row r="395" spans="1:13">
      <c r="A395" s="19">
        <v>395</v>
      </c>
      <c r="B395" s="19"/>
      <c r="C395" s="19"/>
      <c r="D395" s="19"/>
      <c r="E395" s="17" t="s">
        <v>2427</v>
      </c>
      <c r="F395" s="17" t="s">
        <v>2041</v>
      </c>
      <c r="G395" s="17" t="s">
        <v>453</v>
      </c>
      <c r="H395" s="18">
        <v>18818.849999999999</v>
      </c>
      <c r="I395" s="18">
        <v>6.9734999747500002</v>
      </c>
      <c r="J395" s="18">
        <v>131233.25</v>
      </c>
      <c r="K395" s="17" t="s">
        <v>2039</v>
      </c>
      <c r="L395" s="23" t="s">
        <v>2429</v>
      </c>
      <c r="M395" s="24"/>
    </row>
    <row r="396" spans="1:13">
      <c r="A396" s="19">
        <v>396</v>
      </c>
      <c r="B396" s="19"/>
      <c r="C396" s="19"/>
      <c r="D396" s="19"/>
      <c r="E396" s="17" t="s">
        <v>2427</v>
      </c>
      <c r="F396" s="17" t="s">
        <v>2061</v>
      </c>
      <c r="G396" s="17" t="s">
        <v>453</v>
      </c>
      <c r="H396" s="18">
        <v>194731.76</v>
      </c>
      <c r="I396" s="18">
        <v>6.9735000084200003</v>
      </c>
      <c r="J396" s="18">
        <v>1357961.93</v>
      </c>
      <c r="K396" s="17" t="s">
        <v>2039</v>
      </c>
      <c r="L396" s="23" t="s">
        <v>2430</v>
      </c>
      <c r="M396" s="24"/>
    </row>
    <row r="397" spans="1:13">
      <c r="A397" s="19">
        <v>397</v>
      </c>
      <c r="B397" s="19"/>
      <c r="C397" s="19"/>
      <c r="D397" s="19"/>
      <c r="E397" s="17" t="s">
        <v>2427</v>
      </c>
      <c r="F397" s="17" t="s">
        <v>2067</v>
      </c>
      <c r="G397" s="17" t="s">
        <v>575</v>
      </c>
      <c r="H397" s="18">
        <v>14927.17</v>
      </c>
      <c r="I397" s="18">
        <v>6.9735000003299996</v>
      </c>
      <c r="J397" s="18">
        <v>104094.62</v>
      </c>
      <c r="K397" s="17" t="s">
        <v>2039</v>
      </c>
      <c r="L397" s="23" t="s">
        <v>2310</v>
      </c>
      <c r="M397" s="24"/>
    </row>
    <row r="398" spans="1:13">
      <c r="A398" s="19">
        <v>398</v>
      </c>
      <c r="B398" s="19"/>
      <c r="C398" s="19"/>
      <c r="D398" s="19"/>
      <c r="E398" s="17" t="s">
        <v>2427</v>
      </c>
      <c r="F398" s="17" t="s">
        <v>2076</v>
      </c>
      <c r="G398" s="17" t="s">
        <v>394</v>
      </c>
      <c r="H398" s="18">
        <v>6480</v>
      </c>
      <c r="I398" s="18">
        <v>6.9734999999999996</v>
      </c>
      <c r="J398" s="18">
        <v>45188.28</v>
      </c>
      <c r="K398" s="17" t="s">
        <v>2039</v>
      </c>
      <c r="L398" s="23" t="s">
        <v>2431</v>
      </c>
      <c r="M398" s="24"/>
    </row>
    <row r="399" spans="1:13">
      <c r="A399" s="19">
        <v>399</v>
      </c>
      <c r="B399" s="19"/>
      <c r="C399" s="19"/>
      <c r="D399" s="19"/>
      <c r="E399" s="17" t="s">
        <v>2427</v>
      </c>
      <c r="F399" s="17" t="s">
        <v>2049</v>
      </c>
      <c r="G399" s="17" t="s">
        <v>394</v>
      </c>
      <c r="H399" s="18">
        <v>8400</v>
      </c>
      <c r="I399" s="18">
        <v>6.9734999999999996</v>
      </c>
      <c r="J399" s="18">
        <v>58577.4</v>
      </c>
      <c r="K399" s="17" t="s">
        <v>2039</v>
      </c>
      <c r="L399" s="23" t="s">
        <v>2432</v>
      </c>
      <c r="M399" s="24"/>
    </row>
    <row r="400" spans="1:13">
      <c r="A400" s="19">
        <v>400</v>
      </c>
      <c r="B400" s="19"/>
      <c r="C400" s="19"/>
      <c r="D400" s="19"/>
      <c r="E400" s="17" t="s">
        <v>2427</v>
      </c>
      <c r="F400" s="17" t="s">
        <v>2078</v>
      </c>
      <c r="G400" s="17" t="s">
        <v>394</v>
      </c>
      <c r="H400" s="18">
        <v>31593.37</v>
      </c>
      <c r="I400" s="18">
        <v>6.9735001362600002</v>
      </c>
      <c r="J400" s="18">
        <v>220316.37</v>
      </c>
      <c r="K400" s="17" t="s">
        <v>2039</v>
      </c>
      <c r="L400" s="23" t="s">
        <v>2433</v>
      </c>
      <c r="M400" s="28"/>
    </row>
    <row r="401" spans="1:12">
      <c r="A401" s="19">
        <v>401</v>
      </c>
      <c r="B401" s="19"/>
      <c r="C401" s="19"/>
      <c r="D401" s="19"/>
      <c r="E401" s="17" t="s">
        <v>2427</v>
      </c>
      <c r="F401" s="17" t="s">
        <v>2165</v>
      </c>
      <c r="G401" s="17" t="s">
        <v>394</v>
      </c>
      <c r="H401" s="18">
        <v>12405.41</v>
      </c>
      <c r="I401" s="18">
        <v>6.9735002712499998</v>
      </c>
      <c r="J401" s="18">
        <v>86509.13</v>
      </c>
      <c r="K401" s="17" t="s">
        <v>2039</v>
      </c>
      <c r="L401" s="23" t="s">
        <v>2434</v>
      </c>
    </row>
    <row r="402" spans="1:12">
      <c r="A402" s="19">
        <v>402</v>
      </c>
      <c r="B402" s="19"/>
      <c r="C402" s="19"/>
      <c r="D402" s="19"/>
      <c r="E402" s="17" t="s">
        <v>2427</v>
      </c>
      <c r="F402" s="17" t="s">
        <v>2089</v>
      </c>
      <c r="G402" s="17" t="s">
        <v>394</v>
      </c>
      <c r="H402" s="18">
        <v>16650.96</v>
      </c>
      <c r="I402" s="18">
        <v>6.97350002642</v>
      </c>
      <c r="J402" s="18">
        <v>116115.47</v>
      </c>
      <c r="K402" s="17" t="s">
        <v>2039</v>
      </c>
      <c r="L402" s="23" t="s">
        <v>2359</v>
      </c>
    </row>
    <row r="403" spans="1:12">
      <c r="A403" s="19">
        <v>403</v>
      </c>
      <c r="B403" s="19"/>
      <c r="C403" s="19"/>
      <c r="D403" s="19"/>
      <c r="E403" s="17" t="s">
        <v>2427</v>
      </c>
      <c r="F403" s="17" t="s">
        <v>2078</v>
      </c>
      <c r="G403" s="17" t="s">
        <v>394</v>
      </c>
      <c r="H403" s="18">
        <v>16304.65</v>
      </c>
      <c r="I403" s="18">
        <v>6.97350019779</v>
      </c>
      <c r="J403" s="18">
        <v>113700.48</v>
      </c>
      <c r="K403" s="17" t="s">
        <v>2039</v>
      </c>
      <c r="L403" s="23" t="s">
        <v>2435</v>
      </c>
    </row>
    <row r="404" spans="1:12">
      <c r="A404" s="19">
        <v>404</v>
      </c>
      <c r="B404" s="19"/>
      <c r="C404" s="19"/>
      <c r="D404" s="19"/>
      <c r="E404" s="17" t="s">
        <v>2427</v>
      </c>
      <c r="F404" s="17" t="s">
        <v>2045</v>
      </c>
      <c r="G404" s="17" t="s">
        <v>394</v>
      </c>
      <c r="H404" s="18">
        <v>40167.49</v>
      </c>
      <c r="I404" s="18">
        <v>6.97349996228</v>
      </c>
      <c r="J404" s="18">
        <v>280107.99</v>
      </c>
      <c r="K404" s="17" t="s">
        <v>2039</v>
      </c>
      <c r="L404" s="23" t="s">
        <v>2436</v>
      </c>
    </row>
    <row r="405" spans="1:12">
      <c r="A405" s="19">
        <v>405</v>
      </c>
      <c r="B405" s="19"/>
      <c r="C405" s="19"/>
      <c r="D405" s="19"/>
      <c r="E405" s="17" t="s">
        <v>2427</v>
      </c>
      <c r="F405" s="17" t="s">
        <v>2146</v>
      </c>
      <c r="G405" s="17" t="s">
        <v>394</v>
      </c>
      <c r="H405" s="18">
        <v>10019.11</v>
      </c>
      <c r="I405" s="18">
        <v>6.9734986440900002</v>
      </c>
      <c r="J405" s="18">
        <v>69868.25</v>
      </c>
      <c r="K405" s="17" t="s">
        <v>2039</v>
      </c>
      <c r="L405" s="23" t="s">
        <v>2437</v>
      </c>
    </row>
    <row r="406" spans="1:12">
      <c r="A406" s="19">
        <v>406</v>
      </c>
      <c r="B406" s="19"/>
      <c r="C406" s="19"/>
      <c r="D406" s="19"/>
      <c r="E406" s="17" t="s">
        <v>2438</v>
      </c>
      <c r="F406" s="17" t="s">
        <v>2125</v>
      </c>
      <c r="G406" s="17" t="s">
        <v>394</v>
      </c>
      <c r="H406" s="18">
        <v>12077.55</v>
      </c>
      <c r="I406" s="18">
        <v>6.9659003688662002</v>
      </c>
      <c r="J406" s="18">
        <v>84131.01</v>
      </c>
      <c r="K406" s="17" t="s">
        <v>2126</v>
      </c>
      <c r="L406" s="23" t="s">
        <v>2362</v>
      </c>
    </row>
    <row r="407" spans="1:12">
      <c r="A407" s="19">
        <v>407</v>
      </c>
      <c r="B407" s="19"/>
      <c r="C407" s="19"/>
      <c r="D407" s="19"/>
      <c r="E407" s="17" t="s">
        <v>2439</v>
      </c>
      <c r="F407" s="17" t="s">
        <v>2054</v>
      </c>
      <c r="G407" s="17" t="s">
        <v>453</v>
      </c>
      <c r="H407" s="18">
        <v>20156.21</v>
      </c>
      <c r="I407" s="18">
        <v>6.9770998615300002</v>
      </c>
      <c r="J407" s="18">
        <v>140631.89000000001</v>
      </c>
      <c r="K407" s="17" t="s">
        <v>2440</v>
      </c>
      <c r="L407" s="23" t="s">
        <v>2441</v>
      </c>
    </row>
    <row r="408" spans="1:12">
      <c r="A408" s="19">
        <v>408</v>
      </c>
      <c r="B408" s="19"/>
      <c r="C408" s="19"/>
      <c r="D408" s="19"/>
      <c r="E408" s="17" t="s">
        <v>2439</v>
      </c>
      <c r="F408" s="17" t="s">
        <v>2071</v>
      </c>
      <c r="G408" s="17" t="s">
        <v>453</v>
      </c>
      <c r="H408" s="18">
        <v>79966.100000000006</v>
      </c>
      <c r="I408" s="18">
        <v>6.9771000461400003</v>
      </c>
      <c r="J408" s="18">
        <v>557931.48</v>
      </c>
      <c r="K408" s="17" t="s">
        <v>2442</v>
      </c>
      <c r="L408" s="23" t="s">
        <v>2443</v>
      </c>
    </row>
    <row r="409" spans="1:12">
      <c r="A409" s="19">
        <v>409</v>
      </c>
      <c r="B409" s="19"/>
      <c r="C409" s="19"/>
      <c r="D409" s="19"/>
      <c r="E409" s="17" t="s">
        <v>2439</v>
      </c>
      <c r="F409" s="17" t="s">
        <v>2101</v>
      </c>
      <c r="G409" s="17" t="s">
        <v>394</v>
      </c>
      <c r="H409" s="18">
        <v>6985</v>
      </c>
      <c r="I409" s="18">
        <v>6.9770994989200004</v>
      </c>
      <c r="J409" s="18">
        <v>48735.040000000001</v>
      </c>
      <c r="K409" s="17" t="s">
        <v>2442</v>
      </c>
      <c r="L409" s="23" t="s">
        <v>2444</v>
      </c>
    </row>
    <row r="410" spans="1:12">
      <c r="A410" s="19">
        <v>410</v>
      </c>
      <c r="B410" s="19"/>
      <c r="C410" s="19"/>
      <c r="D410" s="19"/>
      <c r="E410" s="17" t="s">
        <v>2439</v>
      </c>
      <c r="F410" s="17" t="s">
        <v>2246</v>
      </c>
      <c r="G410" s="17" t="s">
        <v>394</v>
      </c>
      <c r="H410" s="18">
        <v>3980</v>
      </c>
      <c r="I410" s="18">
        <v>6.9771005025099999</v>
      </c>
      <c r="J410" s="18">
        <v>27768.86</v>
      </c>
      <c r="K410" s="17" t="s">
        <v>2442</v>
      </c>
      <c r="L410" s="23" t="s">
        <v>2445</v>
      </c>
    </row>
    <row r="411" spans="1:12">
      <c r="A411" s="19">
        <v>411</v>
      </c>
      <c r="B411" s="19"/>
      <c r="C411" s="19"/>
      <c r="D411" s="19"/>
      <c r="E411" s="17" t="s">
        <v>2446</v>
      </c>
      <c r="F411" s="17" t="s">
        <v>2076</v>
      </c>
      <c r="G411" s="17" t="s">
        <v>394</v>
      </c>
      <c r="H411" s="18">
        <v>14256.5</v>
      </c>
      <c r="I411" s="18">
        <v>6.9872998281400003</v>
      </c>
      <c r="J411" s="18">
        <v>99614.44</v>
      </c>
      <c r="K411" s="17" t="s">
        <v>2442</v>
      </c>
      <c r="L411" s="23" t="s">
        <v>2447</v>
      </c>
    </row>
    <row r="412" spans="1:12">
      <c r="A412" s="19">
        <v>412</v>
      </c>
      <c r="B412" s="19"/>
      <c r="C412" s="19"/>
      <c r="D412" s="19"/>
      <c r="E412" s="17" t="s">
        <v>2446</v>
      </c>
      <c r="F412" s="17" t="s">
        <v>2074</v>
      </c>
      <c r="G412" s="17" t="s">
        <v>670</v>
      </c>
      <c r="H412" s="18">
        <v>51494.28</v>
      </c>
      <c r="I412" s="18">
        <v>6.9872999486499996</v>
      </c>
      <c r="J412" s="18">
        <v>359805.98</v>
      </c>
      <c r="K412" s="17" t="s">
        <v>2440</v>
      </c>
      <c r="L412" s="23" t="s">
        <v>2448</v>
      </c>
    </row>
    <row r="413" spans="1:12">
      <c r="A413" s="19">
        <v>413</v>
      </c>
      <c r="B413" s="19"/>
      <c r="C413" s="19"/>
      <c r="D413" s="19"/>
      <c r="E413" s="17" t="s">
        <v>2446</v>
      </c>
      <c r="F413" s="17" t="s">
        <v>2047</v>
      </c>
      <c r="G413" s="17" t="s">
        <v>394</v>
      </c>
      <c r="H413" s="18">
        <v>80620.25</v>
      </c>
      <c r="I413" s="18">
        <v>6.9872999649500001</v>
      </c>
      <c r="J413" s="18">
        <v>563317.87</v>
      </c>
      <c r="K413" s="17" t="s">
        <v>2440</v>
      </c>
      <c r="L413" s="23" t="s">
        <v>2449</v>
      </c>
    </row>
    <row r="414" spans="1:12">
      <c r="A414" s="19">
        <v>414</v>
      </c>
      <c r="B414" s="19"/>
      <c r="C414" s="19"/>
      <c r="D414" s="19"/>
      <c r="E414" s="17" t="s">
        <v>2446</v>
      </c>
      <c r="F414" s="17" t="s">
        <v>2056</v>
      </c>
      <c r="G414" s="17" t="s">
        <v>394</v>
      </c>
      <c r="H414" s="18">
        <v>17350.16</v>
      </c>
      <c r="I414" s="18">
        <v>6.9872998289300003</v>
      </c>
      <c r="J414" s="18">
        <v>121230.77</v>
      </c>
      <c r="K414" s="17" t="s">
        <v>2442</v>
      </c>
      <c r="L414" s="23" t="s">
        <v>2450</v>
      </c>
    </row>
    <row r="415" spans="1:12">
      <c r="A415" s="19">
        <v>415</v>
      </c>
      <c r="B415" s="19"/>
      <c r="C415" s="19"/>
      <c r="D415" s="19"/>
      <c r="E415" s="17" t="s">
        <v>2446</v>
      </c>
      <c r="F415" s="17" t="s">
        <v>2074</v>
      </c>
      <c r="G415" s="17" t="s">
        <v>670</v>
      </c>
      <c r="H415" s="18">
        <v>61789.98</v>
      </c>
      <c r="I415" s="18">
        <v>6.9873000444400004</v>
      </c>
      <c r="J415" s="18">
        <v>431745.13</v>
      </c>
      <c r="K415" s="17" t="s">
        <v>2442</v>
      </c>
      <c r="L415" s="23" t="s">
        <v>2448</v>
      </c>
    </row>
    <row r="416" spans="1:12">
      <c r="A416" s="19">
        <v>416</v>
      </c>
      <c r="B416" s="19"/>
      <c r="C416" s="19"/>
      <c r="D416" s="19"/>
      <c r="E416" s="17" t="s">
        <v>2446</v>
      </c>
      <c r="F416" s="17" t="s">
        <v>2061</v>
      </c>
      <c r="G416" s="17" t="s">
        <v>453</v>
      </c>
      <c r="H416" s="18">
        <v>117758.01</v>
      </c>
      <c r="I416" s="18">
        <v>6.9872999721999998</v>
      </c>
      <c r="J416" s="18">
        <v>822810.54</v>
      </c>
      <c r="K416" s="17" t="s">
        <v>2442</v>
      </c>
      <c r="L416" s="23" t="s">
        <v>2451</v>
      </c>
    </row>
    <row r="417" spans="1:12">
      <c r="A417" s="19">
        <v>417</v>
      </c>
      <c r="B417" s="19"/>
      <c r="C417" s="19"/>
      <c r="D417" s="19"/>
      <c r="E417" s="17" t="s">
        <v>887</v>
      </c>
      <c r="F417" s="17" t="s">
        <v>2041</v>
      </c>
      <c r="G417" s="17" t="s">
        <v>453</v>
      </c>
      <c r="H417" s="18">
        <v>18981.04</v>
      </c>
      <c r="I417" s="18">
        <v>6.9903998937800003</v>
      </c>
      <c r="J417" s="18">
        <v>132685.06</v>
      </c>
      <c r="K417" s="17" t="s">
        <v>2440</v>
      </c>
      <c r="L417" s="23" t="s">
        <v>2452</v>
      </c>
    </row>
    <row r="418" spans="1:12">
      <c r="A418" s="19">
        <v>418</v>
      </c>
      <c r="B418" s="19"/>
      <c r="C418" s="19"/>
      <c r="D418" s="19"/>
      <c r="E418" s="17" t="s">
        <v>887</v>
      </c>
      <c r="F418" s="17" t="s">
        <v>2047</v>
      </c>
      <c r="G418" s="17" t="s">
        <v>394</v>
      </c>
      <c r="H418" s="18">
        <v>85931.85</v>
      </c>
      <c r="I418" s="18">
        <v>6.9903999506499996</v>
      </c>
      <c r="J418" s="18">
        <v>600698</v>
      </c>
      <c r="K418" s="17" t="s">
        <v>2442</v>
      </c>
      <c r="L418" s="23" t="s">
        <v>2453</v>
      </c>
    </row>
    <row r="419" spans="1:12">
      <c r="A419" s="19">
        <v>419</v>
      </c>
      <c r="B419" s="19"/>
      <c r="C419" s="19"/>
      <c r="D419" s="19"/>
      <c r="E419" s="17" t="s">
        <v>887</v>
      </c>
      <c r="F419" s="17" t="s">
        <v>2051</v>
      </c>
      <c r="G419" s="17" t="s">
        <v>690</v>
      </c>
      <c r="H419" s="18">
        <v>18900.66</v>
      </c>
      <c r="I419" s="18">
        <v>6.9903998061400001</v>
      </c>
      <c r="J419" s="18">
        <v>132123.17000000001</v>
      </c>
      <c r="K419" s="17" t="s">
        <v>2442</v>
      </c>
      <c r="L419" s="23" t="s">
        <v>2454</v>
      </c>
    </row>
    <row r="420" spans="1:12">
      <c r="A420" s="19">
        <v>420</v>
      </c>
      <c r="B420" s="19"/>
      <c r="C420" s="19"/>
      <c r="D420" s="19"/>
      <c r="E420" s="17" t="s">
        <v>887</v>
      </c>
      <c r="F420" s="17" t="s">
        <v>2051</v>
      </c>
      <c r="G420" s="17" t="s">
        <v>690</v>
      </c>
      <c r="H420" s="18">
        <v>70953.600000000006</v>
      </c>
      <c r="I420" s="18">
        <v>6.9904000642600002</v>
      </c>
      <c r="J420" s="18">
        <v>495994.05</v>
      </c>
      <c r="K420" s="17" t="s">
        <v>2442</v>
      </c>
      <c r="L420" s="23" t="s">
        <v>2455</v>
      </c>
    </row>
    <row r="421" spans="1:12">
      <c r="A421" s="19">
        <v>421</v>
      </c>
      <c r="B421" s="19"/>
      <c r="C421" s="19"/>
      <c r="D421" s="19"/>
      <c r="E421" s="17" t="s">
        <v>2456</v>
      </c>
      <c r="F421" s="17" t="s">
        <v>2078</v>
      </c>
      <c r="G421" s="17" t="s">
        <v>394</v>
      </c>
      <c r="H421" s="18">
        <v>39341.51</v>
      </c>
      <c r="I421" s="18">
        <v>7.0226000476300001</v>
      </c>
      <c r="J421" s="18">
        <v>276279.69</v>
      </c>
      <c r="K421" s="16" t="s">
        <v>2039</v>
      </c>
      <c r="L421" s="23" t="s">
        <v>2457</v>
      </c>
    </row>
    <row r="422" spans="1:12">
      <c r="A422" s="19">
        <v>422</v>
      </c>
      <c r="B422" s="19"/>
      <c r="C422" s="19"/>
      <c r="D422" s="19"/>
      <c r="E422" s="17" t="s">
        <v>2456</v>
      </c>
      <c r="F422" s="17" t="s">
        <v>2078</v>
      </c>
      <c r="G422" s="17" t="s">
        <v>394</v>
      </c>
      <c r="H422" s="18">
        <v>14669.94</v>
      </c>
      <c r="I422" s="18">
        <v>7.0225999560999997</v>
      </c>
      <c r="J422" s="18">
        <v>103021.12</v>
      </c>
      <c r="K422" s="16" t="s">
        <v>2039</v>
      </c>
      <c r="L422" s="23" t="s">
        <v>2458</v>
      </c>
    </row>
    <row r="423" spans="1:12">
      <c r="A423" s="19">
        <v>423</v>
      </c>
      <c r="B423" s="19"/>
      <c r="C423" s="19"/>
      <c r="D423" s="19"/>
      <c r="E423" s="17" t="s">
        <v>2456</v>
      </c>
      <c r="F423" s="17" t="s">
        <v>2078</v>
      </c>
      <c r="G423" s="17" t="s">
        <v>394</v>
      </c>
      <c r="H423" s="18">
        <v>41942.449999999997</v>
      </c>
      <c r="I423" s="18">
        <v>7.0226000150200001</v>
      </c>
      <c r="J423" s="18">
        <v>294545.05</v>
      </c>
      <c r="K423" s="17" t="s">
        <v>2440</v>
      </c>
      <c r="L423" s="23" t="s">
        <v>2459</v>
      </c>
    </row>
    <row r="424" spans="1:12">
      <c r="A424" s="19">
        <v>424</v>
      </c>
      <c r="B424" s="19"/>
      <c r="C424" s="19"/>
      <c r="D424" s="19"/>
      <c r="E424" s="17" t="s">
        <v>2456</v>
      </c>
      <c r="F424" s="17" t="s">
        <v>2078</v>
      </c>
      <c r="G424" s="17" t="s">
        <v>394</v>
      </c>
      <c r="H424" s="18">
        <v>14734.14</v>
      </c>
      <c r="I424" s="18">
        <v>7.0225998938499998</v>
      </c>
      <c r="J424" s="18">
        <v>103471.97</v>
      </c>
      <c r="K424" s="17" t="s">
        <v>2440</v>
      </c>
      <c r="L424" s="23" t="s">
        <v>2460</v>
      </c>
    </row>
    <row r="425" spans="1:12">
      <c r="A425" s="19">
        <v>425</v>
      </c>
      <c r="B425" s="19"/>
      <c r="C425" s="19"/>
      <c r="D425" s="19"/>
      <c r="E425" s="17" t="s">
        <v>2461</v>
      </c>
      <c r="F425" s="17" t="s">
        <v>2061</v>
      </c>
      <c r="G425" s="17" t="s">
        <v>453</v>
      </c>
      <c r="H425" s="18">
        <v>99943.56</v>
      </c>
      <c r="I425" s="18">
        <v>7.0243999713400003</v>
      </c>
      <c r="J425" s="18">
        <v>702043.54</v>
      </c>
      <c r="K425" s="17" t="s">
        <v>2440</v>
      </c>
      <c r="L425" s="23" t="s">
        <v>2462</v>
      </c>
    </row>
    <row r="426" spans="1:12">
      <c r="A426" s="19">
        <v>426</v>
      </c>
      <c r="B426" s="19"/>
      <c r="C426" s="19"/>
      <c r="D426" s="19"/>
      <c r="E426" s="17" t="s">
        <v>2461</v>
      </c>
      <c r="F426" s="17" t="s">
        <v>2097</v>
      </c>
      <c r="G426" s="17" t="s">
        <v>394</v>
      </c>
      <c r="H426" s="18">
        <v>116343.86</v>
      </c>
      <c r="I426" s="18">
        <v>7.0243999984099998</v>
      </c>
      <c r="J426" s="18">
        <v>817245.81</v>
      </c>
      <c r="K426" s="17" t="s">
        <v>2440</v>
      </c>
      <c r="L426" s="23" t="s">
        <v>2463</v>
      </c>
    </row>
    <row r="427" spans="1:12">
      <c r="A427" s="19">
        <v>427</v>
      </c>
      <c r="B427" s="19"/>
      <c r="C427" s="19"/>
      <c r="D427" s="19"/>
      <c r="E427" s="17" t="s">
        <v>2464</v>
      </c>
      <c r="F427" s="17" t="s">
        <v>2246</v>
      </c>
      <c r="G427" s="17" t="s">
        <v>394</v>
      </c>
      <c r="H427" s="18">
        <v>19832.75</v>
      </c>
      <c r="I427" s="18">
        <v>7.0170001638870003</v>
      </c>
      <c r="J427" s="18">
        <v>139166.41</v>
      </c>
      <c r="K427" s="17" t="s">
        <v>2442</v>
      </c>
      <c r="L427" s="23" t="s">
        <v>2405</v>
      </c>
    </row>
    <row r="428" spans="1:12">
      <c r="A428" s="19">
        <v>428</v>
      </c>
      <c r="B428" s="19"/>
      <c r="C428" s="19"/>
      <c r="D428" s="19"/>
      <c r="E428" s="17" t="s">
        <v>2464</v>
      </c>
      <c r="F428" s="17" t="s">
        <v>2246</v>
      </c>
      <c r="G428" s="17" t="s">
        <v>394</v>
      </c>
      <c r="H428" s="18">
        <v>32022.67</v>
      </c>
      <c r="I428" s="18">
        <v>7.0170001439599998</v>
      </c>
      <c r="J428" s="18">
        <v>224703.08</v>
      </c>
      <c r="K428" s="17" t="s">
        <v>2440</v>
      </c>
      <c r="L428" s="23" t="s">
        <v>2405</v>
      </c>
    </row>
    <row r="429" spans="1:12">
      <c r="A429" s="19">
        <v>429</v>
      </c>
      <c r="B429" s="19"/>
      <c r="C429" s="19"/>
      <c r="D429" s="19"/>
      <c r="E429" s="17" t="s">
        <v>2464</v>
      </c>
      <c r="F429" s="17" t="s">
        <v>2056</v>
      </c>
      <c r="G429" s="17" t="s">
        <v>394</v>
      </c>
      <c r="H429" s="18">
        <v>17429.62</v>
      </c>
      <c r="I429" s="18">
        <v>7.0169997968900004</v>
      </c>
      <c r="J429" s="18">
        <v>122303.64</v>
      </c>
      <c r="K429" s="17" t="s">
        <v>2442</v>
      </c>
      <c r="L429" s="23" t="s">
        <v>2370</v>
      </c>
    </row>
    <row r="430" spans="1:12">
      <c r="A430" s="19">
        <v>430</v>
      </c>
      <c r="B430" s="19"/>
      <c r="C430" s="19"/>
      <c r="D430" s="19"/>
      <c r="E430" s="17" t="s">
        <v>2464</v>
      </c>
      <c r="F430" s="17" t="s">
        <v>2383</v>
      </c>
      <c r="G430" s="17" t="s">
        <v>391</v>
      </c>
      <c r="H430" s="18">
        <v>68166.25</v>
      </c>
      <c r="I430" s="18">
        <v>7.0170000550099996</v>
      </c>
      <c r="J430" s="18">
        <v>478322.58</v>
      </c>
      <c r="K430" s="17" t="s">
        <v>2440</v>
      </c>
      <c r="L430" s="23" t="s">
        <v>2384</v>
      </c>
    </row>
    <row r="431" spans="1:12">
      <c r="A431" s="19">
        <v>431</v>
      </c>
      <c r="B431" s="19"/>
      <c r="C431" s="19"/>
      <c r="D431" s="19"/>
      <c r="E431" s="17" t="s">
        <v>2464</v>
      </c>
      <c r="F431" s="17" t="s">
        <v>2465</v>
      </c>
      <c r="G431" s="17" t="s">
        <v>459</v>
      </c>
      <c r="H431" s="18">
        <v>121732.83</v>
      </c>
      <c r="I431" s="18">
        <v>7.0170000155199999</v>
      </c>
      <c r="J431" s="18">
        <v>854199.27</v>
      </c>
      <c r="K431" s="16" t="s">
        <v>2039</v>
      </c>
      <c r="L431" s="23" t="s">
        <v>2466</v>
      </c>
    </row>
    <row r="432" spans="1:12">
      <c r="A432" s="19">
        <v>432</v>
      </c>
      <c r="B432" s="19"/>
      <c r="C432" s="19"/>
      <c r="D432" s="19"/>
      <c r="E432" s="17" t="s">
        <v>2464</v>
      </c>
      <c r="F432" s="17" t="s">
        <v>2246</v>
      </c>
      <c r="G432" s="17" t="s">
        <v>394</v>
      </c>
      <c r="H432" s="18">
        <v>8362.4699999999993</v>
      </c>
      <c r="I432" s="18">
        <v>7.0177997649000003</v>
      </c>
      <c r="J432" s="18">
        <v>58686.14</v>
      </c>
      <c r="K432" s="17" t="s">
        <v>2126</v>
      </c>
      <c r="L432" s="23" t="s">
        <v>2406</v>
      </c>
    </row>
    <row r="433" spans="1:12">
      <c r="A433" s="19">
        <v>433</v>
      </c>
      <c r="B433" s="19"/>
      <c r="C433" s="19"/>
      <c r="D433" s="19"/>
      <c r="E433" s="17" t="s">
        <v>2464</v>
      </c>
      <c r="F433" s="17" t="s">
        <v>2465</v>
      </c>
      <c r="G433" s="17" t="s">
        <v>459</v>
      </c>
      <c r="H433" s="18">
        <v>525.37</v>
      </c>
      <c r="I433" s="18">
        <v>7.0225936007004002</v>
      </c>
      <c r="J433" s="18">
        <v>3689.46</v>
      </c>
      <c r="K433" s="17" t="s">
        <v>2440</v>
      </c>
      <c r="L433" s="23" t="s">
        <v>2467</v>
      </c>
    </row>
    <row r="434" spans="1:12">
      <c r="A434" s="19">
        <v>434</v>
      </c>
      <c r="B434" s="19"/>
      <c r="C434" s="19"/>
      <c r="D434" s="19"/>
      <c r="E434" s="17" t="s">
        <v>2468</v>
      </c>
      <c r="F434" s="17" t="s">
        <v>2078</v>
      </c>
      <c r="G434" s="17" t="s">
        <v>394</v>
      </c>
      <c r="H434" s="18">
        <v>80782.320000000007</v>
      </c>
      <c r="I434" s="18">
        <v>6.9634000360400004</v>
      </c>
      <c r="J434" s="18">
        <v>562519.61</v>
      </c>
      <c r="K434" s="17" t="s">
        <v>2440</v>
      </c>
      <c r="L434" s="23" t="s">
        <v>2469</v>
      </c>
    </row>
    <row r="435" spans="1:12">
      <c r="A435" s="19">
        <v>435</v>
      </c>
      <c r="B435" s="19"/>
      <c r="C435" s="19"/>
      <c r="D435" s="19"/>
      <c r="E435" s="17" t="s">
        <v>2468</v>
      </c>
      <c r="F435" s="17" t="s">
        <v>2047</v>
      </c>
      <c r="G435" s="17" t="s">
        <v>394</v>
      </c>
      <c r="H435" s="18">
        <v>39582.89</v>
      </c>
      <c r="I435" s="18">
        <v>6.9634000953399999</v>
      </c>
      <c r="J435" s="18">
        <v>275631.5</v>
      </c>
      <c r="K435" s="17" t="s">
        <v>2440</v>
      </c>
      <c r="L435" s="23" t="s">
        <v>2453</v>
      </c>
    </row>
    <row r="436" spans="1:12">
      <c r="A436" s="19">
        <v>436</v>
      </c>
      <c r="B436" s="19"/>
      <c r="C436" s="19"/>
      <c r="D436" s="19"/>
      <c r="E436" s="17" t="s">
        <v>2468</v>
      </c>
      <c r="F436" s="17" t="s">
        <v>2089</v>
      </c>
      <c r="G436" s="17" t="s">
        <v>394</v>
      </c>
      <c r="H436" s="18">
        <v>7169.7</v>
      </c>
      <c r="I436" s="18">
        <v>6.9634001422600003</v>
      </c>
      <c r="J436" s="18">
        <v>49925.49</v>
      </c>
      <c r="K436" s="17" t="s">
        <v>2440</v>
      </c>
      <c r="L436" s="23" t="s">
        <v>2470</v>
      </c>
    </row>
    <row r="437" spans="1:12">
      <c r="A437" s="19">
        <v>437</v>
      </c>
      <c r="B437" s="19"/>
      <c r="C437" s="19"/>
      <c r="D437" s="19"/>
      <c r="E437" s="17" t="s">
        <v>2468</v>
      </c>
      <c r="F437" s="17" t="s">
        <v>2047</v>
      </c>
      <c r="G437" s="17" t="s">
        <v>394</v>
      </c>
      <c r="H437" s="18">
        <v>68948.37</v>
      </c>
      <c r="I437" s="18">
        <v>6.9638000144100003</v>
      </c>
      <c r="J437" s="18">
        <v>480142.66</v>
      </c>
      <c r="K437" s="17" t="s">
        <v>2442</v>
      </c>
      <c r="L437" s="23" t="s">
        <v>2453</v>
      </c>
    </row>
    <row r="438" spans="1:12">
      <c r="A438" s="19">
        <v>438</v>
      </c>
      <c r="B438" s="19"/>
      <c r="C438" s="19"/>
      <c r="D438" s="19"/>
      <c r="E438" s="17" t="s">
        <v>2471</v>
      </c>
      <c r="F438" s="17" t="s">
        <v>2045</v>
      </c>
      <c r="G438" s="17" t="s">
        <v>394</v>
      </c>
      <c r="H438" s="18">
        <v>12034.47</v>
      </c>
      <c r="I438" s="18">
        <v>6.9738999723199999</v>
      </c>
      <c r="J438" s="18">
        <v>83927.19</v>
      </c>
      <c r="K438" s="17" t="s">
        <v>2442</v>
      </c>
      <c r="L438" s="23" t="s">
        <v>2472</v>
      </c>
    </row>
    <row r="439" spans="1:12">
      <c r="A439" s="19">
        <v>439</v>
      </c>
      <c r="B439" s="19"/>
      <c r="C439" s="19"/>
      <c r="D439" s="19"/>
      <c r="E439" s="17" t="s">
        <v>2471</v>
      </c>
      <c r="F439" s="17" t="s">
        <v>2465</v>
      </c>
      <c r="G439" s="17" t="s">
        <v>459</v>
      </c>
      <c r="H439" s="18">
        <v>153096.75</v>
      </c>
      <c r="I439" s="18">
        <v>6.9738999684799996</v>
      </c>
      <c r="J439" s="18">
        <v>1067681.42</v>
      </c>
      <c r="K439" s="17" t="s">
        <v>2440</v>
      </c>
      <c r="L439" s="23" t="s">
        <v>2473</v>
      </c>
    </row>
    <row r="440" spans="1:12">
      <c r="A440" s="19">
        <v>440</v>
      </c>
      <c r="B440" s="19"/>
      <c r="C440" s="19"/>
      <c r="D440" s="19"/>
      <c r="E440" s="17" t="s">
        <v>2471</v>
      </c>
      <c r="F440" s="17" t="s">
        <v>2061</v>
      </c>
      <c r="G440" s="17" t="s">
        <v>453</v>
      </c>
      <c r="H440" s="18">
        <v>154180.9</v>
      </c>
      <c r="I440" s="18">
        <v>6.9739000096600003</v>
      </c>
      <c r="J440" s="18">
        <v>1075242.18</v>
      </c>
      <c r="K440" s="17" t="s">
        <v>2442</v>
      </c>
      <c r="L440" s="23" t="s">
        <v>2474</v>
      </c>
    </row>
    <row r="441" spans="1:12">
      <c r="A441" s="19">
        <v>441</v>
      </c>
      <c r="B441" s="19"/>
      <c r="C441" s="19"/>
      <c r="D441" s="19"/>
      <c r="E441" s="17" t="s">
        <v>2471</v>
      </c>
      <c r="F441" s="17" t="s">
        <v>2054</v>
      </c>
      <c r="G441" s="17" t="s">
        <v>453</v>
      </c>
      <c r="H441" s="18">
        <v>19601.810000000001</v>
      </c>
      <c r="I441" s="18">
        <v>6.9737998684800004</v>
      </c>
      <c r="J441" s="18">
        <v>136699.1</v>
      </c>
      <c r="K441" s="17" t="s">
        <v>2442</v>
      </c>
      <c r="L441" s="23" t="s">
        <v>2475</v>
      </c>
    </row>
    <row r="442" spans="1:12">
      <c r="A442" s="19">
        <v>442</v>
      </c>
      <c r="B442" s="19"/>
      <c r="C442" s="19"/>
      <c r="D442" s="19"/>
      <c r="E442" s="17" t="s">
        <v>2471</v>
      </c>
      <c r="F442" s="17" t="s">
        <v>2476</v>
      </c>
      <c r="G442" s="17" t="s">
        <v>394</v>
      </c>
      <c r="H442" s="18">
        <v>14980</v>
      </c>
      <c r="I442" s="18">
        <v>6.9737997329699999</v>
      </c>
      <c r="J442" s="18">
        <v>104467.52</v>
      </c>
      <c r="K442" s="17" t="s">
        <v>2442</v>
      </c>
      <c r="L442" s="23" t="s">
        <v>2477</v>
      </c>
    </row>
    <row r="443" spans="1:12">
      <c r="A443" s="19">
        <v>443</v>
      </c>
      <c r="B443" s="19"/>
      <c r="C443" s="19"/>
      <c r="D443" s="19"/>
      <c r="E443" s="17" t="s">
        <v>2471</v>
      </c>
      <c r="F443" s="17" t="s">
        <v>2056</v>
      </c>
      <c r="G443" s="17" t="s">
        <v>394</v>
      </c>
      <c r="H443" s="18">
        <v>17332.099999999999</v>
      </c>
      <c r="I443" s="18">
        <v>6.9738000588500002</v>
      </c>
      <c r="J443" s="18">
        <v>120870.6</v>
      </c>
      <c r="K443" s="17" t="s">
        <v>2442</v>
      </c>
      <c r="L443" s="23" t="s">
        <v>2478</v>
      </c>
    </row>
    <row r="444" spans="1:12">
      <c r="A444" s="19">
        <v>444</v>
      </c>
      <c r="B444" s="19"/>
      <c r="C444" s="19"/>
      <c r="D444" s="19"/>
      <c r="E444" s="17" t="s">
        <v>2471</v>
      </c>
      <c r="F444" s="17" t="s">
        <v>2479</v>
      </c>
      <c r="G444" s="17" t="s">
        <v>394</v>
      </c>
      <c r="H444" s="18">
        <v>85082.02</v>
      </c>
      <c r="I444" s="18">
        <v>6.9737999873499996</v>
      </c>
      <c r="J444" s="18">
        <v>593344.99</v>
      </c>
      <c r="K444" s="17" t="s">
        <v>2440</v>
      </c>
      <c r="L444" s="23" t="s">
        <v>2480</v>
      </c>
    </row>
    <row r="445" spans="1:12">
      <c r="A445" s="19">
        <v>445</v>
      </c>
      <c r="B445" s="19"/>
      <c r="C445" s="19"/>
      <c r="D445" s="19"/>
      <c r="E445" s="17" t="s">
        <v>2481</v>
      </c>
      <c r="F445" s="17" t="s">
        <v>2078</v>
      </c>
      <c r="G445" s="17" t="s">
        <v>394</v>
      </c>
      <c r="H445" s="18">
        <v>18562.16</v>
      </c>
      <c r="I445" s="18">
        <v>6.9325999775799998</v>
      </c>
      <c r="J445" s="18">
        <v>128684.03</v>
      </c>
      <c r="K445" s="17" t="s">
        <v>2440</v>
      </c>
      <c r="L445" s="23" t="s">
        <v>2482</v>
      </c>
    </row>
    <row r="446" spans="1:12">
      <c r="A446" s="19">
        <v>446</v>
      </c>
      <c r="B446" s="19"/>
      <c r="C446" s="19"/>
      <c r="D446" s="19"/>
      <c r="E446" s="17" t="s">
        <v>2481</v>
      </c>
      <c r="F446" s="17" t="s">
        <v>2394</v>
      </c>
      <c r="G446" s="17" t="s">
        <v>394</v>
      </c>
      <c r="H446" s="18">
        <v>17235.61</v>
      </c>
      <c r="I446" s="18">
        <v>6.9320998792599999</v>
      </c>
      <c r="J446" s="18">
        <v>119478.97</v>
      </c>
      <c r="K446" s="17" t="s">
        <v>2440</v>
      </c>
      <c r="L446" s="23" t="s">
        <v>2483</v>
      </c>
    </row>
    <row r="447" spans="1:12">
      <c r="A447" s="19">
        <v>447</v>
      </c>
      <c r="B447" s="19"/>
      <c r="C447" s="19"/>
      <c r="D447" s="19"/>
      <c r="E447" s="17" t="s">
        <v>2481</v>
      </c>
      <c r="F447" s="17" t="s">
        <v>2165</v>
      </c>
      <c r="G447" s="17" t="s">
        <v>394</v>
      </c>
      <c r="H447" s="18">
        <v>15037.64</v>
      </c>
      <c r="I447" s="18">
        <v>6.9320997177699999</v>
      </c>
      <c r="J447" s="18">
        <v>104242.42</v>
      </c>
      <c r="K447" s="17" t="s">
        <v>2440</v>
      </c>
      <c r="L447" s="23" t="s">
        <v>2484</v>
      </c>
    </row>
    <row r="448" spans="1:12">
      <c r="A448" s="19">
        <v>448</v>
      </c>
      <c r="B448" s="19"/>
      <c r="C448" s="19"/>
      <c r="D448" s="19"/>
      <c r="E448" s="17" t="s">
        <v>2481</v>
      </c>
      <c r="F448" s="17" t="s">
        <v>2167</v>
      </c>
      <c r="G448" s="17" t="s">
        <v>394</v>
      </c>
      <c r="H448" s="18">
        <v>18904.29</v>
      </c>
      <c r="I448" s="18">
        <v>6.9321000682899996</v>
      </c>
      <c r="J448" s="18">
        <v>131046.43</v>
      </c>
      <c r="K448" s="17" t="s">
        <v>2440</v>
      </c>
      <c r="L448" s="23" t="s">
        <v>2485</v>
      </c>
    </row>
    <row r="449" spans="1:12">
      <c r="A449" s="19">
        <v>449</v>
      </c>
      <c r="B449" s="19"/>
      <c r="C449" s="19"/>
      <c r="D449" s="19"/>
      <c r="E449" s="17" t="s">
        <v>2481</v>
      </c>
      <c r="F449" s="17" t="s">
        <v>2097</v>
      </c>
      <c r="G449" s="17" t="s">
        <v>394</v>
      </c>
      <c r="H449" s="18">
        <v>53814.78</v>
      </c>
      <c r="I449" s="18">
        <v>6.9321000661800003</v>
      </c>
      <c r="J449" s="18">
        <v>373049.44</v>
      </c>
      <c r="K449" s="17" t="s">
        <v>2440</v>
      </c>
      <c r="L449" s="23" t="s">
        <v>2486</v>
      </c>
    </row>
    <row r="450" spans="1:12">
      <c r="A450" s="19">
        <v>450</v>
      </c>
      <c r="B450" s="19"/>
      <c r="C450" s="19"/>
      <c r="D450" s="19"/>
      <c r="E450" s="17" t="s">
        <v>2487</v>
      </c>
      <c r="F450" s="17" t="s">
        <v>2097</v>
      </c>
      <c r="G450" s="17" t="s">
        <v>394</v>
      </c>
      <c r="H450" s="18">
        <v>202199.74</v>
      </c>
      <c r="I450" s="18">
        <v>6.9476999821999996</v>
      </c>
      <c r="J450" s="18">
        <v>1404823.13</v>
      </c>
      <c r="K450" s="16" t="s">
        <v>2039</v>
      </c>
      <c r="L450" s="23" t="s">
        <v>2488</v>
      </c>
    </row>
    <row r="451" spans="1:12">
      <c r="A451" s="19">
        <v>451</v>
      </c>
      <c r="B451" s="19"/>
      <c r="C451" s="19"/>
      <c r="D451" s="19"/>
      <c r="E451" s="17" t="s">
        <v>2487</v>
      </c>
      <c r="F451" s="17" t="s">
        <v>2067</v>
      </c>
      <c r="G451" s="17" t="s">
        <v>575</v>
      </c>
      <c r="H451" s="18">
        <v>6472.8</v>
      </c>
      <c r="I451" s="18">
        <v>6.9476996044900003</v>
      </c>
      <c r="J451" s="18">
        <v>44971.07</v>
      </c>
      <c r="K451" s="17" t="s">
        <v>2442</v>
      </c>
      <c r="L451" s="23" t="s">
        <v>2489</v>
      </c>
    </row>
    <row r="452" spans="1:12">
      <c r="A452" s="19">
        <v>452</v>
      </c>
      <c r="B452" s="19"/>
      <c r="C452" s="19"/>
      <c r="D452" s="19"/>
      <c r="E452" s="17" t="s">
        <v>898</v>
      </c>
      <c r="F452" s="17" t="s">
        <v>2078</v>
      </c>
      <c r="G452" s="17" t="s">
        <v>394</v>
      </c>
      <c r="H452" s="18">
        <v>42964.99</v>
      </c>
      <c r="I452" s="18">
        <v>6.9366000085100001</v>
      </c>
      <c r="J452" s="18">
        <v>298030.95</v>
      </c>
      <c r="K452" s="16" t="s">
        <v>2039</v>
      </c>
      <c r="L452" s="23" t="s">
        <v>2490</v>
      </c>
    </row>
    <row r="453" spans="1:12">
      <c r="A453" s="19">
        <v>453</v>
      </c>
      <c r="B453" s="19"/>
      <c r="C453" s="19"/>
      <c r="D453" s="19"/>
      <c r="E453" s="17" t="s">
        <v>898</v>
      </c>
      <c r="F453" s="17" t="s">
        <v>2078</v>
      </c>
      <c r="G453" s="17" t="s">
        <v>394</v>
      </c>
      <c r="H453" s="18">
        <v>14751.09</v>
      </c>
      <c r="I453" s="18">
        <v>6.9365999393899997</v>
      </c>
      <c r="J453" s="18">
        <v>102322.41</v>
      </c>
      <c r="K453" s="16" t="s">
        <v>2039</v>
      </c>
      <c r="L453" s="23" t="s">
        <v>2459</v>
      </c>
    </row>
    <row r="454" spans="1:12">
      <c r="A454" s="19">
        <v>454</v>
      </c>
      <c r="B454" s="19"/>
      <c r="C454" s="19"/>
      <c r="D454" s="19"/>
      <c r="E454" s="17" t="s">
        <v>898</v>
      </c>
      <c r="F454" s="17" t="s">
        <v>2047</v>
      </c>
      <c r="G454" s="17" t="s">
        <v>394</v>
      </c>
      <c r="H454" s="18">
        <v>95806.97</v>
      </c>
      <c r="I454" s="18">
        <v>6.9366000198100002</v>
      </c>
      <c r="J454" s="18">
        <v>664574.63</v>
      </c>
      <c r="K454" s="17" t="s">
        <v>2440</v>
      </c>
      <c r="L454" s="23" t="s">
        <v>2453</v>
      </c>
    </row>
    <row r="455" spans="1:12">
      <c r="A455" s="19">
        <v>455</v>
      </c>
      <c r="B455" s="19"/>
      <c r="C455" s="19"/>
      <c r="D455" s="19"/>
      <c r="E455" s="17" t="s">
        <v>898</v>
      </c>
      <c r="F455" s="17" t="s">
        <v>2074</v>
      </c>
      <c r="G455" s="17" t="s">
        <v>670</v>
      </c>
      <c r="H455" s="18">
        <v>46315</v>
      </c>
      <c r="I455" s="18">
        <v>6.9366000215900003</v>
      </c>
      <c r="J455" s="18">
        <v>321268.63</v>
      </c>
      <c r="K455" s="17" t="s">
        <v>2440</v>
      </c>
      <c r="L455" s="23" t="s">
        <v>2448</v>
      </c>
    </row>
    <row r="456" spans="1:12">
      <c r="A456" s="19">
        <v>456</v>
      </c>
      <c r="B456" s="19"/>
      <c r="C456" s="19"/>
      <c r="D456" s="19"/>
      <c r="E456" s="17" t="s">
        <v>2491</v>
      </c>
      <c r="F456" s="17" t="s">
        <v>2061</v>
      </c>
      <c r="G456" s="17" t="s">
        <v>453</v>
      </c>
      <c r="H456" s="18">
        <v>76574.289999999994</v>
      </c>
      <c r="I456" s="18">
        <v>6.9309999478900002</v>
      </c>
      <c r="J456" s="18">
        <v>530736.4</v>
      </c>
      <c r="K456" s="17" t="s">
        <v>2442</v>
      </c>
      <c r="L456" s="23" t="s">
        <v>2492</v>
      </c>
    </row>
    <row r="457" spans="1:12">
      <c r="A457" s="19">
        <v>457</v>
      </c>
      <c r="B457" s="19"/>
      <c r="C457" s="19"/>
      <c r="D457" s="19"/>
      <c r="E457" s="17" t="s">
        <v>2491</v>
      </c>
      <c r="F457" s="17" t="s">
        <v>2074</v>
      </c>
      <c r="G457" s="17" t="s">
        <v>670</v>
      </c>
      <c r="H457" s="18">
        <v>61773.45</v>
      </c>
      <c r="I457" s="18">
        <v>6.9309999684300001</v>
      </c>
      <c r="J457" s="18">
        <v>428151.78</v>
      </c>
      <c r="K457" s="17" t="s">
        <v>2442</v>
      </c>
      <c r="L457" s="23" t="s">
        <v>2448</v>
      </c>
    </row>
    <row r="458" spans="1:12">
      <c r="A458" s="19">
        <v>458</v>
      </c>
      <c r="B458" s="19"/>
      <c r="C458" s="19"/>
      <c r="D458" s="19"/>
      <c r="E458" s="17" t="s">
        <v>2491</v>
      </c>
      <c r="F458" s="17" t="s">
        <v>2493</v>
      </c>
      <c r="G458" s="17" t="s">
        <v>394</v>
      </c>
      <c r="H458" s="18">
        <v>31341.8</v>
      </c>
      <c r="I458" s="18">
        <v>6.9310001339999996</v>
      </c>
      <c r="J458" s="18">
        <v>217230.02</v>
      </c>
      <c r="K458" s="17" t="s">
        <v>2440</v>
      </c>
      <c r="L458" s="23" t="s">
        <v>2494</v>
      </c>
    </row>
    <row r="459" spans="1:12">
      <c r="A459" s="19">
        <v>459</v>
      </c>
      <c r="B459" s="19"/>
      <c r="C459" s="19"/>
      <c r="D459" s="19"/>
      <c r="E459" s="17" t="s">
        <v>2491</v>
      </c>
      <c r="F459" s="17" t="s">
        <v>2051</v>
      </c>
      <c r="G459" s="17" t="s">
        <v>690</v>
      </c>
      <c r="H459" s="18">
        <v>81457.259999999995</v>
      </c>
      <c r="I459" s="18">
        <v>7.0003000346400004</v>
      </c>
      <c r="J459" s="18">
        <v>570225.26</v>
      </c>
      <c r="K459" s="17" t="s">
        <v>2440</v>
      </c>
      <c r="L459" s="23" t="s">
        <v>2495</v>
      </c>
    </row>
    <row r="460" spans="1:12">
      <c r="A460" s="19">
        <v>460</v>
      </c>
      <c r="B460" s="19"/>
      <c r="C460" s="19"/>
      <c r="D460" s="19"/>
      <c r="E460" s="17" t="s">
        <v>2491</v>
      </c>
      <c r="F460" s="17" t="s">
        <v>2041</v>
      </c>
      <c r="G460" s="17" t="s">
        <v>453</v>
      </c>
      <c r="H460" s="18">
        <v>38660.559999999998</v>
      </c>
      <c r="I460" s="18">
        <v>7.0003000473799997</v>
      </c>
      <c r="J460" s="18">
        <v>270635.52000000002</v>
      </c>
      <c r="K460" s="17" t="s">
        <v>2442</v>
      </c>
      <c r="L460" s="23" t="s">
        <v>2496</v>
      </c>
    </row>
    <row r="461" spans="1:12">
      <c r="A461" s="19">
        <v>461</v>
      </c>
      <c r="B461" s="19"/>
      <c r="C461" s="19"/>
      <c r="D461" s="19"/>
      <c r="E461" s="17" t="s">
        <v>2491</v>
      </c>
      <c r="F461" s="17" t="s">
        <v>2056</v>
      </c>
      <c r="G461" s="17" t="s">
        <v>394</v>
      </c>
      <c r="H461" s="18">
        <v>17389.72</v>
      </c>
      <c r="I461" s="18">
        <v>7.0003001773399998</v>
      </c>
      <c r="J461" s="18">
        <v>121733.26</v>
      </c>
      <c r="K461" s="17" t="s">
        <v>2442</v>
      </c>
      <c r="L461" s="23" t="s">
        <v>2478</v>
      </c>
    </row>
    <row r="462" spans="1:12">
      <c r="A462" s="19">
        <v>462</v>
      </c>
      <c r="B462" s="19"/>
      <c r="C462" s="19"/>
      <c r="D462" s="19"/>
      <c r="E462" s="17" t="s">
        <v>2491</v>
      </c>
      <c r="F462" s="17" t="s">
        <v>2071</v>
      </c>
      <c r="G462" s="17" t="s">
        <v>453</v>
      </c>
      <c r="H462" s="18">
        <v>19966.11</v>
      </c>
      <c r="I462" s="18">
        <v>7.00030000836</v>
      </c>
      <c r="J462" s="18">
        <v>139768.76</v>
      </c>
      <c r="K462" s="17" t="s">
        <v>2442</v>
      </c>
      <c r="L462" s="23" t="s">
        <v>2497</v>
      </c>
    </row>
    <row r="463" spans="1:12">
      <c r="A463" s="19">
        <v>463</v>
      </c>
      <c r="B463" s="19"/>
      <c r="C463" s="19"/>
      <c r="D463" s="19"/>
      <c r="E463" s="17" t="s">
        <v>2491</v>
      </c>
      <c r="F463" s="17" t="s">
        <v>2047</v>
      </c>
      <c r="G463" s="17" t="s">
        <v>394</v>
      </c>
      <c r="H463" s="18">
        <v>99671.19</v>
      </c>
      <c r="I463" s="18">
        <v>7.00029998638</v>
      </c>
      <c r="J463" s="18">
        <v>697728.23</v>
      </c>
      <c r="K463" s="17" t="s">
        <v>2442</v>
      </c>
      <c r="L463" s="23" t="s">
        <v>2498</v>
      </c>
    </row>
    <row r="464" spans="1:12">
      <c r="A464" s="19">
        <v>464</v>
      </c>
      <c r="B464" s="19"/>
      <c r="C464" s="19"/>
      <c r="D464" s="19"/>
      <c r="E464" s="17" t="s">
        <v>2491</v>
      </c>
      <c r="F464" s="17" t="s">
        <v>2201</v>
      </c>
      <c r="G464" s="17" t="s">
        <v>394</v>
      </c>
      <c r="H464" s="18">
        <v>30892.07</v>
      </c>
      <c r="I464" s="18">
        <v>7.00089990732</v>
      </c>
      <c r="J464" s="18">
        <v>216272.29</v>
      </c>
      <c r="K464" s="17" t="s">
        <v>2440</v>
      </c>
      <c r="L464" s="23" t="s">
        <v>2499</v>
      </c>
    </row>
    <row r="465" spans="1:12">
      <c r="A465" s="19">
        <v>465</v>
      </c>
      <c r="B465" s="19"/>
      <c r="C465" s="19"/>
      <c r="D465" s="19"/>
      <c r="E465" s="17" t="s">
        <v>2491</v>
      </c>
      <c r="F465" s="17" t="s">
        <v>2067</v>
      </c>
      <c r="G465" s="17" t="s">
        <v>575</v>
      </c>
      <c r="H465" s="18">
        <v>15273.17</v>
      </c>
      <c r="I465" s="18">
        <v>7.0009002715199999</v>
      </c>
      <c r="J465" s="18">
        <v>106925.94</v>
      </c>
      <c r="K465" s="17" t="s">
        <v>2442</v>
      </c>
      <c r="L465" s="23" t="s">
        <v>2372</v>
      </c>
    </row>
    <row r="466" spans="1:12">
      <c r="A466" s="19">
        <v>466</v>
      </c>
      <c r="B466" s="19"/>
      <c r="C466" s="19"/>
      <c r="D466" s="19"/>
      <c r="E466" s="17" t="s">
        <v>2500</v>
      </c>
      <c r="F466" s="17" t="s">
        <v>2054</v>
      </c>
      <c r="G466" s="17" t="s">
        <v>453</v>
      </c>
      <c r="H466" s="18">
        <v>19347.5</v>
      </c>
      <c r="I466" s="18">
        <v>6.9926998320099996</v>
      </c>
      <c r="J466" s="18">
        <v>135291.26</v>
      </c>
      <c r="K466" s="17" t="s">
        <v>2442</v>
      </c>
      <c r="L466" s="23" t="s">
        <v>2501</v>
      </c>
    </row>
    <row r="467" spans="1:12">
      <c r="A467" s="19">
        <v>467</v>
      </c>
      <c r="B467" s="19"/>
      <c r="C467" s="19"/>
      <c r="D467" s="19"/>
      <c r="E467" s="17" t="s">
        <v>981</v>
      </c>
      <c r="F467" s="17" t="s">
        <v>2246</v>
      </c>
      <c r="G467" s="17" t="s">
        <v>394</v>
      </c>
      <c r="H467" s="18">
        <v>13573.61</v>
      </c>
      <c r="I467" s="18">
        <v>7.0065001130800004</v>
      </c>
      <c r="J467" s="18">
        <v>95103.5</v>
      </c>
      <c r="K467" s="17" t="s">
        <v>2440</v>
      </c>
      <c r="L467" s="23" t="s">
        <v>2502</v>
      </c>
    </row>
    <row r="468" spans="1:12">
      <c r="A468" s="19">
        <v>468</v>
      </c>
      <c r="B468" s="19"/>
      <c r="C468" s="19"/>
      <c r="D468" s="19"/>
      <c r="E468" s="17" t="s">
        <v>981</v>
      </c>
      <c r="F468" s="17" t="s">
        <v>2061</v>
      </c>
      <c r="G468" s="17" t="s">
        <v>453</v>
      </c>
      <c r="H468" s="18">
        <v>118696.97</v>
      </c>
      <c r="I468" s="18">
        <v>7.0060999872099998</v>
      </c>
      <c r="J468" s="18">
        <v>831602.84</v>
      </c>
      <c r="K468" s="17" t="s">
        <v>2442</v>
      </c>
      <c r="L468" s="23" t="s">
        <v>2503</v>
      </c>
    </row>
    <row r="469" spans="1:12">
      <c r="A469" s="19">
        <v>469</v>
      </c>
      <c r="B469" s="19"/>
      <c r="C469" s="19"/>
      <c r="D469" s="19"/>
      <c r="E469" s="17" t="s">
        <v>2504</v>
      </c>
      <c r="F469" s="17" t="s">
        <v>2101</v>
      </c>
      <c r="G469" s="17" t="s">
        <v>394</v>
      </c>
      <c r="H469" s="18">
        <v>7110</v>
      </c>
      <c r="I469" s="18">
        <v>7.0591997187000004</v>
      </c>
      <c r="J469" s="18">
        <v>50190.91</v>
      </c>
      <c r="K469" s="17" t="s">
        <v>2442</v>
      </c>
      <c r="L469" s="23" t="s">
        <v>2505</v>
      </c>
    </row>
    <row r="470" spans="1:12">
      <c r="A470" s="19">
        <v>470</v>
      </c>
      <c r="B470" s="19"/>
      <c r="C470" s="19"/>
      <c r="D470" s="19"/>
      <c r="E470" s="17" t="s">
        <v>2506</v>
      </c>
      <c r="F470" s="17" t="s">
        <v>2047</v>
      </c>
      <c r="G470" s="17" t="s">
        <v>394</v>
      </c>
      <c r="H470" s="18">
        <v>74661.88</v>
      </c>
      <c r="I470" s="18">
        <v>7.0673999904600002</v>
      </c>
      <c r="J470" s="18">
        <v>527665.37</v>
      </c>
      <c r="K470" s="17" t="s">
        <v>2440</v>
      </c>
      <c r="L470" s="23" t="s">
        <v>2498</v>
      </c>
    </row>
    <row r="471" spans="1:12">
      <c r="A471" s="19">
        <v>471</v>
      </c>
      <c r="B471" s="19"/>
      <c r="C471" s="19"/>
      <c r="D471" s="19"/>
      <c r="E471" s="17" t="s">
        <v>976</v>
      </c>
      <c r="F471" s="17" t="s">
        <v>2056</v>
      </c>
      <c r="G471" s="17" t="s">
        <v>394</v>
      </c>
      <c r="H471" s="18">
        <v>17252.98</v>
      </c>
      <c r="I471" s="18">
        <v>7.0994002195499997</v>
      </c>
      <c r="J471" s="18">
        <v>122485.81</v>
      </c>
      <c r="K471" s="17" t="s">
        <v>2442</v>
      </c>
      <c r="L471" s="23" t="s">
        <v>2478</v>
      </c>
    </row>
    <row r="472" spans="1:12">
      <c r="A472" s="19">
        <v>472</v>
      </c>
      <c r="B472" s="19"/>
      <c r="C472" s="19"/>
      <c r="D472" s="19"/>
      <c r="E472" s="17" t="s">
        <v>976</v>
      </c>
      <c r="F472" s="17" t="s">
        <v>2074</v>
      </c>
      <c r="G472" s="17" t="s">
        <v>670</v>
      </c>
      <c r="H472" s="18">
        <v>61466.13</v>
      </c>
      <c r="I472" s="18">
        <v>7.0827000170599996</v>
      </c>
      <c r="J472" s="18">
        <v>435346.16</v>
      </c>
      <c r="K472" s="17" t="s">
        <v>2126</v>
      </c>
      <c r="L472" s="23" t="s">
        <v>2448</v>
      </c>
    </row>
    <row r="473" spans="1:12">
      <c r="A473" s="19">
        <v>473</v>
      </c>
      <c r="B473" s="19"/>
      <c r="C473" s="19"/>
      <c r="D473" s="19"/>
      <c r="E473" s="17" t="s">
        <v>976</v>
      </c>
      <c r="F473" s="17" t="s">
        <v>2074</v>
      </c>
      <c r="G473" s="17" t="s">
        <v>670</v>
      </c>
      <c r="H473" s="18">
        <v>58750.03</v>
      </c>
      <c r="I473" s="18">
        <v>7.0551999718099996</v>
      </c>
      <c r="J473" s="18">
        <v>414493.21</v>
      </c>
      <c r="K473" s="17" t="s">
        <v>2126</v>
      </c>
      <c r="L473" s="23" t="s">
        <v>2448</v>
      </c>
    </row>
    <row r="474" spans="1:12">
      <c r="A474" s="19">
        <v>474</v>
      </c>
      <c r="B474" s="19"/>
      <c r="C474" s="19"/>
      <c r="D474" s="19"/>
      <c r="E474" s="17" t="s">
        <v>976</v>
      </c>
      <c r="F474" s="17" t="s">
        <v>2476</v>
      </c>
      <c r="G474" s="17" t="s">
        <v>394</v>
      </c>
      <c r="H474" s="18">
        <v>10977.97</v>
      </c>
      <c r="I474" s="18">
        <v>7.0601003646300002</v>
      </c>
      <c r="J474" s="18">
        <v>77505.570000000007</v>
      </c>
      <c r="K474" s="17" t="s">
        <v>2442</v>
      </c>
      <c r="L474" s="23" t="s">
        <v>2507</v>
      </c>
    </row>
    <row r="475" spans="1:12">
      <c r="A475" s="19">
        <v>475</v>
      </c>
      <c r="B475" s="19"/>
      <c r="C475" s="19"/>
      <c r="D475" s="19"/>
      <c r="E475" s="17" t="s">
        <v>976</v>
      </c>
      <c r="F475" s="17" t="s">
        <v>2074</v>
      </c>
      <c r="G475" s="17" t="s">
        <v>670</v>
      </c>
      <c r="H475" s="18">
        <v>46255.95</v>
      </c>
      <c r="I475" s="18">
        <v>7.0600999438900001</v>
      </c>
      <c r="J475" s="18">
        <v>326571.63</v>
      </c>
      <c r="K475" s="17" t="s">
        <v>2440</v>
      </c>
      <c r="L475" s="23" t="s">
        <v>2448</v>
      </c>
    </row>
    <row r="476" spans="1:12">
      <c r="A476" s="19">
        <v>476</v>
      </c>
      <c r="B476" s="19"/>
      <c r="C476" s="19"/>
      <c r="D476" s="19"/>
      <c r="E476" s="17" t="s">
        <v>976</v>
      </c>
      <c r="F476" s="17" t="s">
        <v>2097</v>
      </c>
      <c r="G476" s="17" t="s">
        <v>394</v>
      </c>
      <c r="H476" s="18">
        <v>70439.460000000006</v>
      </c>
      <c r="I476" s="18">
        <v>7.0600999780500002</v>
      </c>
      <c r="J476" s="18">
        <v>497309.63</v>
      </c>
      <c r="K476" s="17" t="s">
        <v>2440</v>
      </c>
      <c r="L476" s="23" t="s">
        <v>2508</v>
      </c>
    </row>
    <row r="477" spans="1:12">
      <c r="A477" s="19">
        <v>477</v>
      </c>
      <c r="B477" s="19"/>
      <c r="C477" s="19"/>
      <c r="D477" s="19"/>
      <c r="E477" s="17" t="s">
        <v>976</v>
      </c>
      <c r="F477" s="17" t="s">
        <v>2078</v>
      </c>
      <c r="G477" s="17" t="s">
        <v>394</v>
      </c>
      <c r="H477" s="18">
        <v>37367.599999999999</v>
      </c>
      <c r="I477" s="18">
        <v>7.0600999261300004</v>
      </c>
      <c r="J477" s="18">
        <v>263818.99</v>
      </c>
      <c r="K477" s="17" t="s">
        <v>2440</v>
      </c>
      <c r="L477" s="23" t="s">
        <v>2509</v>
      </c>
    </row>
    <row r="478" spans="1:12">
      <c r="A478" s="19">
        <v>478</v>
      </c>
      <c r="B478" s="19"/>
      <c r="C478" s="19"/>
      <c r="D478" s="19"/>
      <c r="E478" s="17" t="s">
        <v>976</v>
      </c>
      <c r="F478" s="17" t="s">
        <v>2097</v>
      </c>
      <c r="G478" s="17" t="s">
        <v>394</v>
      </c>
      <c r="H478" s="18">
        <v>111481.13</v>
      </c>
      <c r="I478" s="18">
        <v>7.0601000366599997</v>
      </c>
      <c r="J478" s="18">
        <v>787067.93</v>
      </c>
      <c r="K478" s="17" t="s">
        <v>2440</v>
      </c>
      <c r="L478" s="23" t="s">
        <v>2510</v>
      </c>
    </row>
    <row r="479" spans="1:12">
      <c r="A479" s="19">
        <v>479</v>
      </c>
      <c r="B479" s="19"/>
      <c r="C479" s="19"/>
      <c r="D479" s="19"/>
      <c r="E479" s="17" t="s">
        <v>976</v>
      </c>
      <c r="F479" s="17" t="s">
        <v>2246</v>
      </c>
      <c r="G479" s="17" t="s">
        <v>394</v>
      </c>
      <c r="H479" s="18">
        <v>54081.29</v>
      </c>
      <c r="I479" s="18">
        <v>7.0590999216099997</v>
      </c>
      <c r="J479" s="18">
        <v>381765.23</v>
      </c>
      <c r="K479" s="17" t="s">
        <v>2440</v>
      </c>
      <c r="L479" s="23" t="s">
        <v>2445</v>
      </c>
    </row>
    <row r="480" spans="1:12">
      <c r="A480" s="19">
        <v>480</v>
      </c>
      <c r="B480" s="19"/>
      <c r="C480" s="19"/>
      <c r="D480" s="19"/>
      <c r="E480" s="17" t="s">
        <v>976</v>
      </c>
      <c r="F480" s="17" t="s">
        <v>2049</v>
      </c>
      <c r="G480" s="17" t="s">
        <v>394</v>
      </c>
      <c r="H480" s="18">
        <v>9200</v>
      </c>
      <c r="I480" s="18">
        <v>7.0590999999999999</v>
      </c>
      <c r="J480" s="18">
        <v>64943.72</v>
      </c>
      <c r="K480" s="17" t="s">
        <v>2442</v>
      </c>
      <c r="L480" s="23" t="s">
        <v>2511</v>
      </c>
    </row>
    <row r="481" spans="1:12">
      <c r="A481" s="19">
        <v>481</v>
      </c>
      <c r="B481" s="19"/>
      <c r="C481" s="19"/>
      <c r="D481" s="19"/>
      <c r="E481" s="17" t="s">
        <v>2512</v>
      </c>
      <c r="F481" s="17" t="s">
        <v>2061</v>
      </c>
      <c r="G481" s="17" t="s">
        <v>453</v>
      </c>
      <c r="H481" s="18">
        <v>134888.31</v>
      </c>
      <c r="I481" s="18">
        <v>7.0620000354299997</v>
      </c>
      <c r="J481" s="18">
        <v>952581.25</v>
      </c>
      <c r="K481" s="17" t="s">
        <v>2442</v>
      </c>
      <c r="L481" s="23" t="s">
        <v>2513</v>
      </c>
    </row>
    <row r="482" spans="1:12">
      <c r="A482" s="19">
        <v>482</v>
      </c>
      <c r="B482" s="19"/>
      <c r="C482" s="19"/>
      <c r="D482" s="19"/>
      <c r="E482" s="17" t="s">
        <v>2512</v>
      </c>
      <c r="F482" s="17" t="s">
        <v>2078</v>
      </c>
      <c r="G482" s="17" t="s">
        <v>394</v>
      </c>
      <c r="H482" s="18">
        <v>59435.51</v>
      </c>
      <c r="I482" s="18">
        <v>7.10190002575</v>
      </c>
      <c r="J482" s="18">
        <v>422105.05</v>
      </c>
      <c r="K482" s="17" t="s">
        <v>2440</v>
      </c>
      <c r="L482" s="23" t="s">
        <v>2514</v>
      </c>
    </row>
    <row r="483" spans="1:12">
      <c r="A483" s="19">
        <v>483</v>
      </c>
      <c r="B483" s="19"/>
      <c r="C483" s="19"/>
      <c r="D483" s="19"/>
      <c r="E483" s="17" t="s">
        <v>2512</v>
      </c>
      <c r="F483" s="17" t="s">
        <v>2479</v>
      </c>
      <c r="G483" s="17" t="s">
        <v>394</v>
      </c>
      <c r="H483" s="18">
        <v>103483.89</v>
      </c>
      <c r="I483" s="18">
        <v>7.1019000155400001</v>
      </c>
      <c r="J483" s="18">
        <v>734932.24</v>
      </c>
      <c r="K483" s="17" t="s">
        <v>2440</v>
      </c>
      <c r="L483" s="23" t="s">
        <v>2515</v>
      </c>
    </row>
    <row r="484" spans="1:12">
      <c r="A484" s="19">
        <v>484</v>
      </c>
      <c r="B484" s="19"/>
      <c r="C484" s="19"/>
      <c r="D484" s="19"/>
      <c r="E484" s="17" t="s">
        <v>2516</v>
      </c>
      <c r="F484" s="17" t="s">
        <v>2078</v>
      </c>
      <c r="G484" s="17" t="s">
        <v>394</v>
      </c>
      <c r="H484" s="18">
        <v>41901.089999999997</v>
      </c>
      <c r="I484" s="18">
        <v>7.0515000922400004</v>
      </c>
      <c r="J484" s="18">
        <v>295465.53999999998</v>
      </c>
      <c r="K484" s="17" t="s">
        <v>2440</v>
      </c>
      <c r="L484" s="23" t="s">
        <v>2517</v>
      </c>
    </row>
    <row r="485" spans="1:12">
      <c r="A485" s="19">
        <v>485</v>
      </c>
      <c r="B485" s="19"/>
      <c r="C485" s="19"/>
      <c r="D485" s="19"/>
      <c r="E485" s="17" t="s">
        <v>2516</v>
      </c>
      <c r="F485" s="17" t="s">
        <v>2479</v>
      </c>
      <c r="G485" s="17" t="s">
        <v>394</v>
      </c>
      <c r="H485" s="18">
        <v>60101.21</v>
      </c>
      <c r="I485" s="18">
        <v>7.0514999614800002</v>
      </c>
      <c r="J485" s="18">
        <v>423803.68</v>
      </c>
      <c r="K485" s="16" t="s">
        <v>2039</v>
      </c>
      <c r="L485" s="23" t="s">
        <v>2518</v>
      </c>
    </row>
    <row r="486" spans="1:12">
      <c r="A486" s="19">
        <v>486</v>
      </c>
      <c r="B486" s="19"/>
      <c r="C486" s="19"/>
      <c r="D486" s="19"/>
      <c r="E486" s="17" t="s">
        <v>2516</v>
      </c>
      <c r="F486" s="17" t="s">
        <v>2101</v>
      </c>
      <c r="G486" s="17" t="s">
        <v>394</v>
      </c>
      <c r="H486" s="18">
        <v>16032.41</v>
      </c>
      <c r="I486" s="18">
        <v>7.0515000552</v>
      </c>
      <c r="J486" s="18">
        <v>113052.54</v>
      </c>
      <c r="K486" s="17" t="s">
        <v>2440</v>
      </c>
      <c r="L486" s="23" t="s">
        <v>2444</v>
      </c>
    </row>
    <row r="487" spans="1:12">
      <c r="A487" s="19">
        <v>487</v>
      </c>
      <c r="B487" s="19"/>
      <c r="C487" s="19"/>
      <c r="D487" s="19"/>
      <c r="E487" s="17" t="s">
        <v>2516</v>
      </c>
      <c r="F487" s="17" t="s">
        <v>2101</v>
      </c>
      <c r="G487" s="17" t="s">
        <v>394</v>
      </c>
      <c r="H487" s="18">
        <v>7285</v>
      </c>
      <c r="I487" s="18">
        <v>7.0515003431699999</v>
      </c>
      <c r="J487" s="18">
        <v>51370.18</v>
      </c>
      <c r="K487" s="17" t="s">
        <v>2442</v>
      </c>
      <c r="L487" s="23" t="s">
        <v>2505</v>
      </c>
    </row>
    <row r="488" spans="1:12">
      <c r="A488" s="19">
        <v>488</v>
      </c>
      <c r="B488" s="19"/>
      <c r="C488" s="19"/>
      <c r="D488" s="19"/>
      <c r="E488" s="17" t="s">
        <v>2516</v>
      </c>
      <c r="F488" s="17" t="s">
        <v>2047</v>
      </c>
      <c r="G488" s="17" t="s">
        <v>394</v>
      </c>
      <c r="H488" s="18">
        <v>73474.48</v>
      </c>
      <c r="I488" s="18">
        <v>7.0515000582500003</v>
      </c>
      <c r="J488" s="18">
        <v>518105.3</v>
      </c>
      <c r="K488" s="17" t="s">
        <v>2442</v>
      </c>
      <c r="L488" s="23" t="s">
        <v>2498</v>
      </c>
    </row>
    <row r="489" spans="1:12">
      <c r="A489" s="19">
        <v>489</v>
      </c>
      <c r="B489" s="19"/>
      <c r="C489" s="19"/>
      <c r="D489" s="19"/>
      <c r="E489" s="17" t="s">
        <v>2516</v>
      </c>
      <c r="F489" s="17" t="s">
        <v>2519</v>
      </c>
      <c r="G489" s="17" t="s">
        <v>453</v>
      </c>
      <c r="H489" s="18">
        <v>45749.1</v>
      </c>
      <c r="I489" s="18">
        <v>7.0515000294999997</v>
      </c>
      <c r="J489" s="18">
        <v>322599.78000000003</v>
      </c>
      <c r="K489" s="17" t="s">
        <v>2440</v>
      </c>
      <c r="L489" s="23" t="s">
        <v>2520</v>
      </c>
    </row>
    <row r="490" spans="1:12">
      <c r="A490" s="19">
        <v>490</v>
      </c>
      <c r="B490" s="19"/>
      <c r="C490" s="19"/>
      <c r="D490" s="19"/>
      <c r="E490" s="17" t="s">
        <v>2516</v>
      </c>
      <c r="F490" s="17" t="s">
        <v>2074</v>
      </c>
      <c r="G490" s="17" t="s">
        <v>670</v>
      </c>
      <c r="H490" s="18">
        <v>55675.45</v>
      </c>
      <c r="I490" s="18">
        <v>7.0747000697700004</v>
      </c>
      <c r="J490" s="18">
        <v>393887.11</v>
      </c>
      <c r="K490" s="17" t="s">
        <v>2126</v>
      </c>
      <c r="L490" s="23" t="s">
        <v>2448</v>
      </c>
    </row>
    <row r="491" spans="1:12">
      <c r="A491" s="19">
        <v>491</v>
      </c>
      <c r="B491" s="19"/>
      <c r="C491" s="19"/>
      <c r="D491" s="19"/>
      <c r="E491" s="17" t="s">
        <v>2516</v>
      </c>
      <c r="F491" s="17" t="s">
        <v>2078</v>
      </c>
      <c r="G491" s="17" t="s">
        <v>394</v>
      </c>
      <c r="H491" s="18">
        <v>163598.24</v>
      </c>
      <c r="I491" s="18">
        <v>7.08809996977</v>
      </c>
      <c r="J491" s="18">
        <v>1159600.68</v>
      </c>
      <c r="K491" s="16" t="s">
        <v>2039</v>
      </c>
      <c r="L491" s="23" t="s">
        <v>2521</v>
      </c>
    </row>
    <row r="492" spans="1:12">
      <c r="A492" s="19">
        <v>492</v>
      </c>
      <c r="B492" s="19"/>
      <c r="C492" s="19"/>
      <c r="D492" s="19"/>
      <c r="E492" s="17" t="s">
        <v>2522</v>
      </c>
      <c r="F492" s="17" t="s">
        <v>2067</v>
      </c>
      <c r="G492" s="17" t="s">
        <v>575</v>
      </c>
      <c r="H492" s="18">
        <v>6896</v>
      </c>
      <c r="I492" s="18">
        <v>7.0783004640299998</v>
      </c>
      <c r="J492" s="18">
        <v>48811.96</v>
      </c>
      <c r="K492" s="17" t="s">
        <v>2440</v>
      </c>
      <c r="L492" s="23" t="s">
        <v>2523</v>
      </c>
    </row>
    <row r="493" spans="1:12">
      <c r="A493" s="19">
        <v>493</v>
      </c>
      <c r="B493" s="19"/>
      <c r="C493" s="19"/>
      <c r="D493" s="19"/>
      <c r="E493" s="17" t="s">
        <v>2522</v>
      </c>
      <c r="F493" s="17" t="s">
        <v>2476</v>
      </c>
      <c r="G493" s="17" t="s">
        <v>394</v>
      </c>
      <c r="H493" s="18">
        <v>24480.560000000001</v>
      </c>
      <c r="I493" s="18">
        <v>7.0783000878999998</v>
      </c>
      <c r="J493" s="18">
        <v>173280.75</v>
      </c>
      <c r="K493" s="17" t="s">
        <v>2440</v>
      </c>
      <c r="L493" s="23" t="s">
        <v>2524</v>
      </c>
    </row>
    <row r="494" spans="1:12">
      <c r="A494" s="19">
        <v>494</v>
      </c>
      <c r="B494" s="19"/>
      <c r="C494" s="19"/>
      <c r="D494" s="19"/>
      <c r="E494" s="17" t="s">
        <v>2525</v>
      </c>
      <c r="F494" s="17" t="s">
        <v>2526</v>
      </c>
      <c r="G494" s="17" t="s">
        <v>1628</v>
      </c>
      <c r="H494" s="18">
        <v>23350.6</v>
      </c>
      <c r="I494" s="18">
        <v>7.0800000856500001</v>
      </c>
      <c r="J494" s="18">
        <v>165322.25</v>
      </c>
      <c r="K494" s="17" t="s">
        <v>2527</v>
      </c>
      <c r="L494" s="23" t="s">
        <v>2528</v>
      </c>
    </row>
    <row r="495" spans="1:12">
      <c r="A495" s="19">
        <v>495</v>
      </c>
      <c r="B495" s="19"/>
      <c r="C495" s="19"/>
      <c r="D495" s="19"/>
      <c r="E495" s="17" t="s">
        <v>2529</v>
      </c>
      <c r="F495" s="17" t="s">
        <v>2089</v>
      </c>
      <c r="G495" s="17" t="s">
        <v>394</v>
      </c>
      <c r="H495" s="18">
        <v>15089.75</v>
      </c>
      <c r="I495" s="18">
        <v>7.0777998310100001</v>
      </c>
      <c r="J495" s="18">
        <v>106802.23</v>
      </c>
      <c r="K495" s="17" t="s">
        <v>2440</v>
      </c>
      <c r="L495" s="23" t="s">
        <v>2470</v>
      </c>
    </row>
    <row r="496" spans="1:12">
      <c r="A496" s="19">
        <v>496</v>
      </c>
      <c r="B496" s="19"/>
      <c r="C496" s="19"/>
      <c r="D496" s="19"/>
      <c r="E496" s="17" t="s">
        <v>2529</v>
      </c>
      <c r="F496" s="17" t="s">
        <v>2061</v>
      </c>
      <c r="G496" s="17" t="s">
        <v>453</v>
      </c>
      <c r="H496" s="18">
        <v>94295.039999999994</v>
      </c>
      <c r="I496" s="18">
        <v>7.0810000186600002</v>
      </c>
      <c r="J496" s="18">
        <v>667703.18000000005</v>
      </c>
      <c r="K496" s="17" t="s">
        <v>2442</v>
      </c>
      <c r="L496" s="23" t="s">
        <v>2530</v>
      </c>
    </row>
    <row r="497" spans="1:12">
      <c r="A497" s="19">
        <v>497</v>
      </c>
      <c r="B497" s="19"/>
      <c r="C497" s="19"/>
      <c r="D497" s="19"/>
      <c r="E497" s="17" t="s">
        <v>2529</v>
      </c>
      <c r="F497" s="17" t="s">
        <v>2047</v>
      </c>
      <c r="G497" s="17" t="s">
        <v>394</v>
      </c>
      <c r="H497" s="18">
        <v>77114.06</v>
      </c>
      <c r="I497" s="18">
        <v>7.0810000147799999</v>
      </c>
      <c r="J497" s="18">
        <v>546044.66</v>
      </c>
      <c r="K497" s="17" t="s">
        <v>2442</v>
      </c>
      <c r="L497" s="23" t="s">
        <v>2498</v>
      </c>
    </row>
    <row r="498" spans="1:12">
      <c r="A498" s="19">
        <v>498</v>
      </c>
      <c r="B498" s="19"/>
      <c r="C498" s="19"/>
      <c r="D498" s="19"/>
      <c r="E498" s="17" t="s">
        <v>2531</v>
      </c>
      <c r="F498" s="17" t="s">
        <v>2054</v>
      </c>
      <c r="G498" s="17" t="s">
        <v>453</v>
      </c>
      <c r="H498" s="18">
        <v>19921.849999999999</v>
      </c>
      <c r="I498" s="18">
        <v>7.0663999578299999</v>
      </c>
      <c r="J498" s="18">
        <v>140775.76</v>
      </c>
      <c r="K498" s="17" t="s">
        <v>2442</v>
      </c>
      <c r="L498" s="23" t="s">
        <v>2532</v>
      </c>
    </row>
    <row r="499" spans="1:12">
      <c r="A499" s="19">
        <v>499</v>
      </c>
      <c r="B499" s="19"/>
      <c r="C499" s="19"/>
      <c r="D499" s="19"/>
      <c r="E499" s="17" t="s">
        <v>2531</v>
      </c>
      <c r="F499" s="17" t="s">
        <v>2051</v>
      </c>
      <c r="G499" s="17" t="s">
        <v>690</v>
      </c>
      <c r="H499" s="18">
        <v>115471.57</v>
      </c>
      <c r="I499" s="18">
        <v>7.06639998053</v>
      </c>
      <c r="J499" s="18">
        <v>815968.3</v>
      </c>
      <c r="K499" s="17" t="s">
        <v>2442</v>
      </c>
      <c r="L499" s="23" t="s">
        <v>2533</v>
      </c>
    </row>
    <row r="500" spans="1:12">
      <c r="A500" s="19">
        <v>500</v>
      </c>
      <c r="B500" s="19"/>
      <c r="C500" s="19"/>
      <c r="D500" s="19"/>
      <c r="E500" s="17" t="s">
        <v>2531</v>
      </c>
      <c r="F500" s="17" t="s">
        <v>2056</v>
      </c>
      <c r="G500" s="17" t="s">
        <v>394</v>
      </c>
      <c r="H500" s="18">
        <v>17399.52</v>
      </c>
      <c r="I500" s="18">
        <v>7.0664001075799998</v>
      </c>
      <c r="J500" s="18">
        <v>122951.97</v>
      </c>
      <c r="K500" s="17" t="s">
        <v>2442</v>
      </c>
      <c r="L500" s="23" t="s">
        <v>2534</v>
      </c>
    </row>
    <row r="501" spans="1:12">
      <c r="A501" s="19">
        <v>501</v>
      </c>
      <c r="B501" s="19"/>
      <c r="C501" s="19"/>
      <c r="D501" s="19"/>
      <c r="E501" s="17" t="s">
        <v>2531</v>
      </c>
      <c r="F501" s="17" t="s">
        <v>2519</v>
      </c>
      <c r="G501" s="17" t="s">
        <v>453</v>
      </c>
      <c r="H501" s="18">
        <v>22474.58</v>
      </c>
      <c r="I501" s="18">
        <v>7.0662001247599999</v>
      </c>
      <c r="J501" s="18">
        <v>158809.88</v>
      </c>
      <c r="K501" s="16" t="s">
        <v>2039</v>
      </c>
      <c r="L501" s="23" t="s">
        <v>2535</v>
      </c>
    </row>
    <row r="502" spans="1:12">
      <c r="A502" s="19">
        <v>502</v>
      </c>
      <c r="B502" s="19"/>
      <c r="C502" s="19"/>
      <c r="D502" s="19"/>
      <c r="E502" s="17" t="s">
        <v>2531</v>
      </c>
      <c r="F502" s="17" t="s">
        <v>2519</v>
      </c>
      <c r="G502" s="17" t="s">
        <v>453</v>
      </c>
      <c r="H502" s="18">
        <v>44720.67</v>
      </c>
      <c r="I502" s="18">
        <v>7.06699989065</v>
      </c>
      <c r="J502" s="18">
        <v>316040.96999999997</v>
      </c>
      <c r="K502" s="16" t="s">
        <v>2039</v>
      </c>
      <c r="L502" s="23" t="s">
        <v>2535</v>
      </c>
    </row>
    <row r="503" spans="1:12">
      <c r="A503" s="19">
        <v>503</v>
      </c>
      <c r="B503" s="19"/>
      <c r="C503" s="19"/>
      <c r="D503" s="19"/>
      <c r="E503" s="17" t="s">
        <v>2536</v>
      </c>
      <c r="F503" s="17" t="s">
        <v>2056</v>
      </c>
      <c r="G503" s="17" t="s">
        <v>394</v>
      </c>
      <c r="H503" s="18">
        <v>17249.189999999999</v>
      </c>
      <c r="I503" s="18">
        <v>7.06340007849</v>
      </c>
      <c r="J503" s="18">
        <v>121837.93</v>
      </c>
      <c r="K503" s="17" t="s">
        <v>2442</v>
      </c>
      <c r="L503" s="23" t="s">
        <v>2478</v>
      </c>
    </row>
    <row r="504" spans="1:12">
      <c r="A504" s="19">
        <v>504</v>
      </c>
      <c r="B504" s="19"/>
      <c r="C504" s="19"/>
      <c r="D504" s="19"/>
      <c r="E504" s="17" t="s">
        <v>2536</v>
      </c>
      <c r="F504" s="17" t="s">
        <v>2071</v>
      </c>
      <c r="G504" s="17" t="s">
        <v>453</v>
      </c>
      <c r="H504" s="18">
        <v>69966.080000000002</v>
      </c>
      <c r="I504" s="18">
        <v>7.06380005854</v>
      </c>
      <c r="J504" s="18">
        <v>494226.4</v>
      </c>
      <c r="K504" s="17" t="s">
        <v>2442</v>
      </c>
      <c r="L504" s="23" t="s">
        <v>2537</v>
      </c>
    </row>
    <row r="505" spans="1:12">
      <c r="A505" s="19">
        <v>505</v>
      </c>
      <c r="B505" s="19"/>
      <c r="C505" s="19"/>
      <c r="D505" s="19"/>
      <c r="E505" s="17" t="s">
        <v>2538</v>
      </c>
      <c r="F505" s="17" t="s">
        <v>2097</v>
      </c>
      <c r="G505" s="17" t="s">
        <v>394</v>
      </c>
      <c r="H505" s="18">
        <v>56026.23</v>
      </c>
      <c r="I505" s="18">
        <v>7.0588999117000002</v>
      </c>
      <c r="J505" s="18">
        <v>395483.55</v>
      </c>
      <c r="K505" s="17" t="s">
        <v>2440</v>
      </c>
      <c r="L505" s="23" t="s">
        <v>2539</v>
      </c>
    </row>
    <row r="506" spans="1:12">
      <c r="A506" s="19">
        <v>506</v>
      </c>
      <c r="B506" s="19"/>
      <c r="C506" s="19"/>
      <c r="D506" s="19"/>
      <c r="E506" s="17" t="s">
        <v>2538</v>
      </c>
      <c r="F506" s="17" t="s">
        <v>2479</v>
      </c>
      <c r="G506" s="17" t="s">
        <v>394</v>
      </c>
      <c r="H506" s="18">
        <v>58552.19</v>
      </c>
      <c r="I506" s="18">
        <v>7.0588999318300001</v>
      </c>
      <c r="J506" s="18">
        <v>413314.05</v>
      </c>
      <c r="K506" s="17" t="s">
        <v>2440</v>
      </c>
      <c r="L506" s="23" t="s">
        <v>2518</v>
      </c>
    </row>
    <row r="507" spans="1:12">
      <c r="A507" s="19">
        <v>507</v>
      </c>
      <c r="B507" s="19"/>
      <c r="C507" s="19"/>
      <c r="D507" s="19"/>
      <c r="E507" s="17" t="s">
        <v>2540</v>
      </c>
      <c r="F507" s="17" t="s">
        <v>2041</v>
      </c>
      <c r="G507" s="17" t="s">
        <v>453</v>
      </c>
      <c r="H507" s="18">
        <v>19635.04</v>
      </c>
      <c r="I507" s="18">
        <v>7.0396999445799997</v>
      </c>
      <c r="J507" s="18">
        <v>138224.79</v>
      </c>
      <c r="K507" s="17" t="s">
        <v>2440</v>
      </c>
      <c r="L507" s="23" t="s">
        <v>2541</v>
      </c>
    </row>
    <row r="508" spans="1:12">
      <c r="A508" s="19">
        <v>508</v>
      </c>
      <c r="B508" s="19"/>
      <c r="C508" s="19"/>
      <c r="D508" s="19"/>
      <c r="E508" s="17" t="s">
        <v>2540</v>
      </c>
      <c r="F508" s="17" t="s">
        <v>2350</v>
      </c>
      <c r="G508" s="17" t="s">
        <v>387</v>
      </c>
      <c r="H508" s="18">
        <v>27492.5</v>
      </c>
      <c r="I508" s="18">
        <v>7.0329999090599999</v>
      </c>
      <c r="J508" s="18">
        <v>193354.75</v>
      </c>
      <c r="K508" s="17" t="s">
        <v>2542</v>
      </c>
      <c r="L508" s="23" t="s">
        <v>2543</v>
      </c>
    </row>
    <row r="509" spans="1:12">
      <c r="A509" s="19">
        <v>509</v>
      </c>
      <c r="B509" s="19"/>
      <c r="C509" s="19"/>
      <c r="D509" s="19"/>
      <c r="E509" s="17" t="s">
        <v>2544</v>
      </c>
      <c r="F509" s="17" t="s">
        <v>2054</v>
      </c>
      <c r="G509" s="17" t="s">
        <v>453</v>
      </c>
      <c r="H509" s="18">
        <v>19008.14</v>
      </c>
      <c r="I509" s="18">
        <v>7.04540002335</v>
      </c>
      <c r="J509" s="18">
        <v>133919.95000000001</v>
      </c>
      <c r="K509" s="17" t="s">
        <v>2440</v>
      </c>
      <c r="L509" s="23" t="s">
        <v>2545</v>
      </c>
    </row>
    <row r="510" spans="1:12">
      <c r="A510" s="19">
        <v>510</v>
      </c>
      <c r="B510" s="19"/>
      <c r="C510" s="19"/>
      <c r="D510" s="19"/>
      <c r="E510" s="17" t="s">
        <v>2544</v>
      </c>
      <c r="F510" s="17" t="s">
        <v>2071</v>
      </c>
      <c r="G510" s="17" t="s">
        <v>453</v>
      </c>
      <c r="H510" s="18">
        <v>39966.080000000002</v>
      </c>
      <c r="I510" s="18">
        <v>7.0453999991899998</v>
      </c>
      <c r="J510" s="18">
        <v>281577.02</v>
      </c>
      <c r="K510" s="17" t="s">
        <v>2442</v>
      </c>
      <c r="L510" s="23" t="s">
        <v>2546</v>
      </c>
    </row>
    <row r="511" spans="1:12">
      <c r="A511" s="19">
        <v>511</v>
      </c>
      <c r="B511" s="19"/>
      <c r="C511" s="19"/>
      <c r="D511" s="19"/>
      <c r="E511" s="17" t="s">
        <v>2544</v>
      </c>
      <c r="F511" s="17" t="s">
        <v>2078</v>
      </c>
      <c r="G511" s="17" t="s">
        <v>394</v>
      </c>
      <c r="H511" s="18">
        <v>19151.490000000002</v>
      </c>
      <c r="I511" s="18">
        <v>7.0454001229100003</v>
      </c>
      <c r="J511" s="18">
        <v>134929.91</v>
      </c>
      <c r="K511" s="16" t="s">
        <v>2039</v>
      </c>
      <c r="L511" s="23" t="s">
        <v>2547</v>
      </c>
    </row>
    <row r="512" spans="1:12">
      <c r="A512" s="19">
        <v>512</v>
      </c>
      <c r="B512" s="19"/>
      <c r="C512" s="19"/>
      <c r="D512" s="19"/>
      <c r="E512" s="17" t="s">
        <v>2544</v>
      </c>
      <c r="F512" s="17" t="s">
        <v>2078</v>
      </c>
      <c r="G512" s="17" t="s">
        <v>394</v>
      </c>
      <c r="H512" s="18">
        <v>72786.720000000001</v>
      </c>
      <c r="I512" s="18">
        <v>7.0454000399999996</v>
      </c>
      <c r="J512" s="18">
        <v>512811.56</v>
      </c>
      <c r="K512" s="17" t="s">
        <v>2440</v>
      </c>
      <c r="L512" s="23" t="s">
        <v>2548</v>
      </c>
    </row>
    <row r="513" spans="1:12">
      <c r="A513" s="19">
        <v>513</v>
      </c>
      <c r="B513" s="19"/>
      <c r="C513" s="19"/>
      <c r="D513" s="19"/>
      <c r="E513" s="17" t="s">
        <v>2549</v>
      </c>
      <c r="F513" s="17" t="s">
        <v>2097</v>
      </c>
      <c r="G513" s="17" t="s">
        <v>394</v>
      </c>
      <c r="H513" s="18">
        <v>188299.5</v>
      </c>
      <c r="I513" s="18">
        <v>7.0696000254899998</v>
      </c>
      <c r="J513" s="18">
        <v>1331202.1499999999</v>
      </c>
      <c r="K513" s="17" t="s">
        <v>2440</v>
      </c>
      <c r="L513" s="23" t="s">
        <v>2550</v>
      </c>
    </row>
    <row r="514" spans="1:12">
      <c r="A514" s="19">
        <v>514</v>
      </c>
      <c r="B514" s="19"/>
      <c r="C514" s="19"/>
      <c r="D514" s="19"/>
      <c r="E514" s="17" t="s">
        <v>2549</v>
      </c>
      <c r="F514" s="17" t="s">
        <v>2097</v>
      </c>
      <c r="G514" s="17" t="s">
        <v>394</v>
      </c>
      <c r="H514" s="18">
        <v>93390.05</v>
      </c>
      <c r="I514" s="18">
        <v>7.0696000269799999</v>
      </c>
      <c r="J514" s="18">
        <v>660230.30000000005</v>
      </c>
      <c r="K514" s="17" t="s">
        <v>2440</v>
      </c>
      <c r="L514" s="23" t="s">
        <v>2539</v>
      </c>
    </row>
    <row r="515" spans="1:12">
      <c r="A515" s="19">
        <v>515</v>
      </c>
      <c r="B515" s="19"/>
      <c r="C515" s="19"/>
      <c r="D515" s="19"/>
      <c r="E515" s="17" t="s">
        <v>2549</v>
      </c>
      <c r="F515" s="17" t="s">
        <v>2078</v>
      </c>
      <c r="G515" s="17" t="s">
        <v>394</v>
      </c>
      <c r="H515" s="18">
        <v>165005</v>
      </c>
      <c r="I515" s="18">
        <v>7.0696000121200004</v>
      </c>
      <c r="J515" s="18">
        <v>1166519.3500000001</v>
      </c>
      <c r="K515" s="17" t="s">
        <v>2440</v>
      </c>
      <c r="L515" s="23" t="s">
        <v>2551</v>
      </c>
    </row>
    <row r="516" spans="1:12">
      <c r="A516" s="19">
        <v>516</v>
      </c>
      <c r="B516" s="19"/>
      <c r="C516" s="19"/>
      <c r="D516" s="19"/>
      <c r="E516" s="17" t="s">
        <v>2552</v>
      </c>
      <c r="F516" s="17" t="s">
        <v>2061</v>
      </c>
      <c r="G516" s="17" t="s">
        <v>453</v>
      </c>
      <c r="H516" s="18">
        <v>220167.51</v>
      </c>
      <c r="I516" s="18">
        <v>7.0632000152899996</v>
      </c>
      <c r="J516" s="18">
        <v>1555087.16</v>
      </c>
      <c r="K516" s="17" t="s">
        <v>2553</v>
      </c>
      <c r="L516" s="23" t="s">
        <v>2554</v>
      </c>
    </row>
    <row r="517" spans="1:12">
      <c r="A517" s="19">
        <v>517</v>
      </c>
      <c r="B517" s="19"/>
      <c r="C517" s="19"/>
      <c r="D517" s="19"/>
      <c r="E517" s="17" t="s">
        <v>2555</v>
      </c>
      <c r="F517" s="17" t="s">
        <v>2047</v>
      </c>
      <c r="G517" s="17" t="s">
        <v>394</v>
      </c>
      <c r="H517" s="18">
        <v>66453.679999999993</v>
      </c>
      <c r="I517" s="18">
        <v>7.0791999780900001</v>
      </c>
      <c r="J517" s="18">
        <v>470438.89</v>
      </c>
      <c r="K517" s="17" t="s">
        <v>2442</v>
      </c>
      <c r="L517" s="23" t="s">
        <v>2556</v>
      </c>
    </row>
    <row r="518" spans="1:12">
      <c r="A518" s="19">
        <v>518</v>
      </c>
      <c r="B518" s="19"/>
      <c r="C518" s="19"/>
      <c r="D518" s="19"/>
      <c r="E518" s="17" t="s">
        <v>2557</v>
      </c>
      <c r="F518" s="17" t="s">
        <v>2097</v>
      </c>
      <c r="G518" s="17" t="s">
        <v>394</v>
      </c>
      <c r="H518" s="18">
        <v>188571.36</v>
      </c>
      <c r="I518" s="18">
        <v>7.0816999993999996</v>
      </c>
      <c r="J518" s="18">
        <v>1335405.8</v>
      </c>
      <c r="K518" s="17" t="s">
        <v>2440</v>
      </c>
      <c r="L518" s="23" t="s">
        <v>2558</v>
      </c>
    </row>
    <row r="519" spans="1:12">
      <c r="A519" s="19">
        <v>519</v>
      </c>
      <c r="B519" s="19"/>
      <c r="C519" s="19"/>
      <c r="D519" s="19"/>
      <c r="E519" s="17" t="s">
        <v>2559</v>
      </c>
      <c r="F519" s="17" t="s">
        <v>2074</v>
      </c>
      <c r="G519" s="17" t="s">
        <v>670</v>
      </c>
      <c r="H519" s="18">
        <v>57054.58</v>
      </c>
      <c r="I519" s="18">
        <v>7.0727000356499996</v>
      </c>
      <c r="J519" s="18">
        <v>403529.93</v>
      </c>
      <c r="K519" s="17" t="s">
        <v>2527</v>
      </c>
      <c r="L519" s="23" t="s">
        <v>2448</v>
      </c>
    </row>
    <row r="520" spans="1:12">
      <c r="A520" s="19">
        <v>520</v>
      </c>
      <c r="B520" s="19"/>
      <c r="C520" s="19"/>
      <c r="D520" s="19"/>
      <c r="E520" s="17" t="s">
        <v>2559</v>
      </c>
      <c r="F520" s="17" t="s">
        <v>2074</v>
      </c>
      <c r="G520" s="17" t="s">
        <v>670</v>
      </c>
      <c r="H520" s="18">
        <v>58293.99</v>
      </c>
      <c r="I520" s="18">
        <v>7.0722000672699998</v>
      </c>
      <c r="J520" s="18">
        <v>412266.76</v>
      </c>
      <c r="K520" s="17" t="s">
        <v>2527</v>
      </c>
      <c r="L520" s="23" t="s">
        <v>2560</v>
      </c>
    </row>
    <row r="521" spans="1:12">
      <c r="A521" s="19">
        <v>521</v>
      </c>
      <c r="B521" s="19"/>
      <c r="C521" s="19"/>
      <c r="D521" s="19"/>
      <c r="E521" s="17" t="s">
        <v>2559</v>
      </c>
      <c r="F521" s="17" t="s">
        <v>2078</v>
      </c>
      <c r="G521" s="17" t="s">
        <v>394</v>
      </c>
      <c r="H521" s="18">
        <v>94091.79</v>
      </c>
      <c r="I521" s="18">
        <v>7.0786999588299997</v>
      </c>
      <c r="J521" s="18">
        <v>666047.55000000005</v>
      </c>
      <c r="K521" s="17" t="s">
        <v>2440</v>
      </c>
      <c r="L521" s="23" t="s">
        <v>2561</v>
      </c>
    </row>
    <row r="522" spans="1:12">
      <c r="A522" s="19">
        <v>522</v>
      </c>
      <c r="B522" s="19"/>
      <c r="C522" s="19"/>
      <c r="D522" s="19"/>
      <c r="E522" s="17" t="s">
        <v>2559</v>
      </c>
      <c r="F522" s="17" t="s">
        <v>2078</v>
      </c>
      <c r="G522" s="17" t="s">
        <v>394</v>
      </c>
      <c r="H522" s="18">
        <v>49317.93</v>
      </c>
      <c r="I522" s="18">
        <v>7.0786999778700004</v>
      </c>
      <c r="J522" s="18">
        <v>349106.83</v>
      </c>
      <c r="K522" s="17" t="s">
        <v>2440</v>
      </c>
      <c r="L522" s="23" t="s">
        <v>2562</v>
      </c>
    </row>
    <row r="523" spans="1:12">
      <c r="A523" s="19">
        <v>523</v>
      </c>
      <c r="B523" s="19"/>
      <c r="C523" s="19"/>
      <c r="D523" s="19"/>
      <c r="E523" s="17" t="s">
        <v>2559</v>
      </c>
      <c r="F523" s="17" t="s">
        <v>2078</v>
      </c>
      <c r="G523" s="17" t="s">
        <v>394</v>
      </c>
      <c r="H523" s="18">
        <v>44111.6</v>
      </c>
      <c r="I523" s="18">
        <v>7.0791000553099996</v>
      </c>
      <c r="J523" s="18">
        <v>312270.43</v>
      </c>
      <c r="K523" s="17" t="s">
        <v>2440</v>
      </c>
      <c r="L523" s="23" t="s">
        <v>2563</v>
      </c>
    </row>
    <row r="524" spans="1:12">
      <c r="A524" s="19">
        <v>524</v>
      </c>
      <c r="B524" s="19"/>
      <c r="C524" s="19"/>
      <c r="D524" s="19"/>
      <c r="E524" s="17" t="s">
        <v>2559</v>
      </c>
      <c r="F524" s="17" t="s">
        <v>2078</v>
      </c>
      <c r="G524" s="17" t="s">
        <v>394</v>
      </c>
      <c r="H524" s="18">
        <v>22203.15</v>
      </c>
      <c r="I524" s="18">
        <v>7.0791000376</v>
      </c>
      <c r="J524" s="18">
        <v>157178.32</v>
      </c>
      <c r="K524" s="17" t="s">
        <v>2440</v>
      </c>
      <c r="L524" s="23" t="s">
        <v>2564</v>
      </c>
    </row>
    <row r="525" spans="1:12">
      <c r="A525" s="19">
        <v>525</v>
      </c>
      <c r="B525" s="19"/>
      <c r="C525" s="19"/>
      <c r="D525" s="19"/>
      <c r="E525" s="17" t="s">
        <v>2559</v>
      </c>
      <c r="F525" s="17" t="s">
        <v>2078</v>
      </c>
      <c r="G525" s="17" t="s">
        <v>394</v>
      </c>
      <c r="H525" s="18">
        <v>17551.759999999998</v>
      </c>
      <c r="I525" s="18">
        <v>7.0790997597900001</v>
      </c>
      <c r="J525" s="18">
        <v>124250.66</v>
      </c>
      <c r="K525" s="17" t="s">
        <v>2440</v>
      </c>
      <c r="L525" s="23" t="s">
        <v>2563</v>
      </c>
    </row>
    <row r="526" spans="1:12">
      <c r="A526" s="19">
        <v>526</v>
      </c>
      <c r="B526" s="19"/>
      <c r="C526" s="19"/>
      <c r="D526" s="19"/>
      <c r="E526" s="17" t="s">
        <v>2559</v>
      </c>
      <c r="F526" s="17" t="s">
        <v>2078</v>
      </c>
      <c r="G526" s="17" t="s">
        <v>394</v>
      </c>
      <c r="H526" s="18">
        <v>16387.990000000002</v>
      </c>
      <c r="I526" s="18">
        <v>7.0790999994500003</v>
      </c>
      <c r="J526" s="18">
        <v>116012.22</v>
      </c>
      <c r="K526" s="17" t="s">
        <v>2440</v>
      </c>
      <c r="L526" s="23" t="s">
        <v>2565</v>
      </c>
    </row>
    <row r="527" spans="1:12">
      <c r="A527" s="19">
        <v>527</v>
      </c>
      <c r="B527" s="19"/>
      <c r="C527" s="19"/>
      <c r="D527" s="19"/>
      <c r="E527" s="17" t="s">
        <v>2559</v>
      </c>
      <c r="F527" s="17" t="s">
        <v>2101</v>
      </c>
      <c r="G527" s="17" t="s">
        <v>394</v>
      </c>
      <c r="H527" s="18">
        <v>17609.25</v>
      </c>
      <c r="I527" s="18">
        <v>7.0790999048699996</v>
      </c>
      <c r="J527" s="18">
        <v>124657.64</v>
      </c>
      <c r="K527" s="17" t="s">
        <v>2440</v>
      </c>
      <c r="L527" s="23" t="s">
        <v>2505</v>
      </c>
    </row>
    <row r="528" spans="1:12">
      <c r="A528" s="19">
        <v>528</v>
      </c>
      <c r="B528" s="19"/>
      <c r="C528" s="19"/>
      <c r="D528" s="19"/>
      <c r="E528" s="17" t="s">
        <v>2559</v>
      </c>
      <c r="F528" s="17" t="s">
        <v>2051</v>
      </c>
      <c r="G528" s="17" t="s">
        <v>690</v>
      </c>
      <c r="H528" s="18">
        <v>104437.17</v>
      </c>
      <c r="I528" s="18">
        <v>7.0787000451999997</v>
      </c>
      <c r="J528" s="18">
        <v>739279.4</v>
      </c>
      <c r="K528" s="17" t="s">
        <v>2553</v>
      </c>
      <c r="L528" s="23" t="s">
        <v>2566</v>
      </c>
    </row>
    <row r="529" spans="1:12">
      <c r="A529" s="19">
        <v>529</v>
      </c>
      <c r="B529" s="19"/>
      <c r="C529" s="19"/>
      <c r="D529" s="19"/>
      <c r="E529" s="17" t="s">
        <v>2567</v>
      </c>
      <c r="F529" s="17" t="s">
        <v>2074</v>
      </c>
      <c r="G529" s="17" t="s">
        <v>670</v>
      </c>
      <c r="H529" s="18">
        <v>34267.33</v>
      </c>
      <c r="I529" s="18">
        <v>7.0689000280999998</v>
      </c>
      <c r="J529" s="18">
        <v>242232.33</v>
      </c>
      <c r="K529" s="17" t="s">
        <v>2126</v>
      </c>
      <c r="L529" s="23" t="s">
        <v>2568</v>
      </c>
    </row>
    <row r="530" spans="1:12">
      <c r="A530" s="19">
        <v>530</v>
      </c>
      <c r="B530" s="19"/>
      <c r="C530" s="19"/>
      <c r="D530" s="19"/>
      <c r="E530" s="17" t="s">
        <v>2567</v>
      </c>
      <c r="F530" s="17" t="s">
        <v>2465</v>
      </c>
      <c r="G530" s="17" t="s">
        <v>459</v>
      </c>
      <c r="H530" s="18">
        <v>107171.15</v>
      </c>
      <c r="I530" s="18">
        <v>7.07689998661</v>
      </c>
      <c r="J530" s="18">
        <v>758439.51</v>
      </c>
      <c r="K530" s="17" t="s">
        <v>2440</v>
      </c>
      <c r="L530" s="23" t="s">
        <v>2569</v>
      </c>
    </row>
    <row r="531" spans="1:12">
      <c r="A531" s="19">
        <v>531</v>
      </c>
      <c r="B531" s="19"/>
      <c r="C531" s="19"/>
      <c r="D531" s="19"/>
      <c r="E531" s="17" t="s">
        <v>2570</v>
      </c>
      <c r="F531" s="17" t="s">
        <v>2246</v>
      </c>
      <c r="G531" s="17" t="s">
        <v>394</v>
      </c>
      <c r="H531" s="18">
        <v>4980</v>
      </c>
      <c r="I531" s="18">
        <v>7.0812008032099998</v>
      </c>
      <c r="J531" s="18">
        <v>35264.379999999997</v>
      </c>
      <c r="K531" s="17" t="s">
        <v>2440</v>
      </c>
      <c r="L531" s="23" t="s">
        <v>2571</v>
      </c>
    </row>
    <row r="532" spans="1:12">
      <c r="A532" s="19">
        <v>532</v>
      </c>
      <c r="B532" s="19"/>
      <c r="C532" s="19"/>
      <c r="D532" s="19"/>
      <c r="E532" s="17" t="s">
        <v>2570</v>
      </c>
      <c r="F532" s="17" t="s">
        <v>2067</v>
      </c>
      <c r="G532" s="17" t="s">
        <v>575</v>
      </c>
      <c r="H532" s="18">
        <v>14769.78</v>
      </c>
      <c r="I532" s="18">
        <v>7.0812002616100003</v>
      </c>
      <c r="J532" s="18">
        <v>104587.77</v>
      </c>
      <c r="K532" s="17" t="s">
        <v>2442</v>
      </c>
      <c r="L532" s="23" t="s">
        <v>2489</v>
      </c>
    </row>
    <row r="533" spans="1:12">
      <c r="A533" s="19">
        <v>533</v>
      </c>
      <c r="B533" s="19"/>
      <c r="C533" s="19"/>
      <c r="D533" s="19"/>
      <c r="E533" s="17" t="s">
        <v>2570</v>
      </c>
      <c r="F533" s="17" t="s">
        <v>2089</v>
      </c>
      <c r="G533" s="17" t="s">
        <v>394</v>
      </c>
      <c r="H533" s="18">
        <v>8382</v>
      </c>
      <c r="I533" s="18">
        <v>7.08109997613</v>
      </c>
      <c r="J533" s="18">
        <v>59353.78</v>
      </c>
      <c r="K533" s="17" t="s">
        <v>2442</v>
      </c>
      <c r="L533" s="23" t="s">
        <v>2572</v>
      </c>
    </row>
    <row r="534" spans="1:12">
      <c r="A534" s="19">
        <v>534</v>
      </c>
      <c r="B534" s="19"/>
      <c r="C534" s="19"/>
      <c r="D534" s="19"/>
      <c r="E534" s="17" t="s">
        <v>2570</v>
      </c>
      <c r="F534" s="17" t="s">
        <v>2101</v>
      </c>
      <c r="G534" s="17" t="s">
        <v>394</v>
      </c>
      <c r="H534" s="18">
        <v>8685</v>
      </c>
      <c r="I534" s="18">
        <v>7.0810995969999997</v>
      </c>
      <c r="J534" s="18">
        <v>61499.35</v>
      </c>
      <c r="K534" s="17" t="s">
        <v>2442</v>
      </c>
      <c r="L534" s="23" t="s">
        <v>2573</v>
      </c>
    </row>
    <row r="535" spans="1:12">
      <c r="A535" s="19">
        <v>535</v>
      </c>
      <c r="B535" s="19"/>
      <c r="C535" s="19"/>
      <c r="D535" s="19"/>
      <c r="E535" s="17" t="s">
        <v>2570</v>
      </c>
      <c r="F535" s="17" t="s">
        <v>2078</v>
      </c>
      <c r="G535" s="17" t="s">
        <v>394</v>
      </c>
      <c r="H535" s="18">
        <v>117172.39</v>
      </c>
      <c r="I535" s="18">
        <v>7.0810999929199996</v>
      </c>
      <c r="J535" s="18">
        <v>829709.41</v>
      </c>
      <c r="K535" s="16" t="s">
        <v>2039</v>
      </c>
      <c r="L535" s="23" t="s">
        <v>2561</v>
      </c>
    </row>
    <row r="536" spans="1:12">
      <c r="A536" s="19">
        <v>536</v>
      </c>
      <c r="B536" s="19"/>
      <c r="C536" s="19"/>
      <c r="D536" s="19"/>
      <c r="E536" s="17" t="s">
        <v>2570</v>
      </c>
      <c r="F536" s="17" t="s">
        <v>2089</v>
      </c>
      <c r="G536" s="17" t="s">
        <v>394</v>
      </c>
      <c r="H536" s="18">
        <v>8817</v>
      </c>
      <c r="I536" s="18">
        <v>7.0811001474399999</v>
      </c>
      <c r="J536" s="18">
        <v>62434.06</v>
      </c>
      <c r="K536" s="17" t="s">
        <v>2442</v>
      </c>
      <c r="L536" s="23" t="s">
        <v>2574</v>
      </c>
    </row>
    <row r="537" spans="1:12">
      <c r="A537" s="19">
        <v>537</v>
      </c>
      <c r="B537" s="19"/>
      <c r="C537" s="20"/>
      <c r="D537" s="19"/>
      <c r="E537" s="17" t="s">
        <v>2570</v>
      </c>
      <c r="F537" s="17" t="s">
        <v>2089</v>
      </c>
      <c r="G537" s="17" t="s">
        <v>394</v>
      </c>
      <c r="H537" s="18">
        <v>8382</v>
      </c>
      <c r="I537" s="18">
        <v>7.08109997613</v>
      </c>
      <c r="J537" s="18">
        <v>59353.78</v>
      </c>
      <c r="K537" s="17" t="s">
        <v>2442</v>
      </c>
      <c r="L537" s="23" t="s">
        <v>2572</v>
      </c>
    </row>
    <row r="538" spans="1:12">
      <c r="A538" s="19">
        <v>538</v>
      </c>
      <c r="B538" s="19"/>
      <c r="C538" s="19"/>
      <c r="D538" s="19"/>
      <c r="E538" s="17" t="s">
        <v>2570</v>
      </c>
      <c r="F538" s="17" t="s">
        <v>2476</v>
      </c>
      <c r="G538" s="17" t="s">
        <v>394</v>
      </c>
      <c r="H538" s="18">
        <v>5000</v>
      </c>
      <c r="I538" s="18">
        <v>7.0731000000000002</v>
      </c>
      <c r="J538" s="18">
        <v>35365.5</v>
      </c>
      <c r="K538" s="17" t="s">
        <v>2442</v>
      </c>
      <c r="L538" s="23" t="s">
        <v>2575</v>
      </c>
    </row>
    <row r="539" spans="1:12">
      <c r="A539" s="19">
        <v>539</v>
      </c>
      <c r="B539" s="19"/>
      <c r="C539" s="19"/>
      <c r="D539" s="19"/>
      <c r="E539" s="17" t="s">
        <v>2570</v>
      </c>
      <c r="F539" s="17" t="s">
        <v>2056</v>
      </c>
      <c r="G539" s="17" t="s">
        <v>394</v>
      </c>
      <c r="H539" s="18">
        <v>19338.41</v>
      </c>
      <c r="I539" s="18">
        <v>7.0731001152599999</v>
      </c>
      <c r="J539" s="18">
        <v>136782.51</v>
      </c>
      <c r="K539" s="17" t="s">
        <v>2442</v>
      </c>
      <c r="L539" s="23" t="s">
        <v>2534</v>
      </c>
    </row>
    <row r="540" spans="1:12">
      <c r="A540" s="19">
        <v>540</v>
      </c>
      <c r="B540" s="19"/>
      <c r="C540" s="19"/>
      <c r="D540" s="19"/>
      <c r="E540" s="17" t="s">
        <v>2570</v>
      </c>
      <c r="F540" s="17" t="s">
        <v>2043</v>
      </c>
      <c r="G540" s="17" t="s">
        <v>394</v>
      </c>
      <c r="H540" s="18">
        <v>9582</v>
      </c>
      <c r="I540" s="18">
        <v>7.0729002295900001</v>
      </c>
      <c r="J540" s="18">
        <v>67772.53</v>
      </c>
      <c r="K540" s="17" t="s">
        <v>2442</v>
      </c>
      <c r="L540" s="23" t="s">
        <v>2576</v>
      </c>
    </row>
    <row r="541" spans="1:12">
      <c r="A541" s="19">
        <v>541</v>
      </c>
      <c r="B541" s="19"/>
      <c r="C541" s="19"/>
      <c r="D541" s="19"/>
      <c r="E541" s="17" t="s">
        <v>2570</v>
      </c>
      <c r="F541" s="17" t="s">
        <v>2422</v>
      </c>
      <c r="G541" s="17" t="s">
        <v>453</v>
      </c>
      <c r="H541" s="18">
        <v>19844.810000000001</v>
      </c>
      <c r="I541" s="18">
        <v>7.0728986571299997</v>
      </c>
      <c r="J541" s="18">
        <v>140360.32999999999</v>
      </c>
      <c r="K541" s="17" t="s">
        <v>2440</v>
      </c>
      <c r="L541" s="23" t="s">
        <v>2577</v>
      </c>
    </row>
    <row r="542" spans="1:12">
      <c r="A542" s="19">
        <v>542</v>
      </c>
      <c r="B542" s="19"/>
      <c r="C542" s="19"/>
      <c r="D542" s="19"/>
      <c r="E542" s="17" t="s">
        <v>2570</v>
      </c>
      <c r="F542" s="17" t="s">
        <v>2578</v>
      </c>
      <c r="G542" s="17" t="s">
        <v>394</v>
      </c>
      <c r="H542" s="18">
        <v>19720</v>
      </c>
      <c r="I542" s="18">
        <v>7.0714001014100001</v>
      </c>
      <c r="J542" s="18">
        <v>139448.01</v>
      </c>
      <c r="K542" s="17" t="s">
        <v>2442</v>
      </c>
      <c r="L542" s="23" t="s">
        <v>2579</v>
      </c>
    </row>
    <row r="543" spans="1:12">
      <c r="A543" s="19">
        <v>543</v>
      </c>
      <c r="B543" s="19"/>
      <c r="C543" s="19"/>
      <c r="D543" s="19"/>
      <c r="E543" s="17" t="s">
        <v>2570</v>
      </c>
      <c r="F543" s="17" t="s">
        <v>2101</v>
      </c>
      <c r="G543" s="17" t="s">
        <v>394</v>
      </c>
      <c r="H543" s="18">
        <v>16510.48</v>
      </c>
      <c r="I543" s="18">
        <v>7.0714001046600004</v>
      </c>
      <c r="J543" s="18">
        <v>116752.21</v>
      </c>
      <c r="K543" s="17" t="s">
        <v>2442</v>
      </c>
      <c r="L543" s="23" t="s">
        <v>2580</v>
      </c>
    </row>
    <row r="544" spans="1:12">
      <c r="A544" s="19">
        <v>544</v>
      </c>
      <c r="B544" s="19"/>
      <c r="C544" s="19"/>
      <c r="D544" s="19"/>
      <c r="E544" s="17" t="s">
        <v>2570</v>
      </c>
      <c r="F544" s="17" t="s">
        <v>2101</v>
      </c>
      <c r="G544" s="17" t="s">
        <v>394</v>
      </c>
      <c r="H544" s="18">
        <v>8685</v>
      </c>
      <c r="I544" s="18">
        <v>7.0714001151400003</v>
      </c>
      <c r="J544" s="18">
        <v>61415.11</v>
      </c>
      <c r="K544" s="17" t="s">
        <v>2442</v>
      </c>
      <c r="L544" s="23" t="s">
        <v>2581</v>
      </c>
    </row>
    <row r="545" spans="1:12">
      <c r="A545" s="19">
        <v>545</v>
      </c>
      <c r="B545" s="19"/>
      <c r="C545" s="19"/>
      <c r="D545" s="19"/>
      <c r="E545" s="17" t="s">
        <v>2582</v>
      </c>
      <c r="F545" s="17" t="s">
        <v>2078</v>
      </c>
      <c r="G545" s="17" t="s">
        <v>394</v>
      </c>
      <c r="H545" s="18">
        <v>268764.24</v>
      </c>
      <c r="I545" s="18">
        <v>7.0541999932700001</v>
      </c>
      <c r="J545" s="18">
        <v>1895916.7</v>
      </c>
      <c r="K545" s="17" t="s">
        <v>2440</v>
      </c>
      <c r="L545" s="23" t="s">
        <v>2583</v>
      </c>
    </row>
    <row r="546" spans="1:12">
      <c r="A546" s="19">
        <v>546</v>
      </c>
      <c r="B546" s="19"/>
      <c r="C546" s="19"/>
      <c r="D546" s="19"/>
      <c r="E546" s="17" t="s">
        <v>2582</v>
      </c>
      <c r="F546" s="17" t="s">
        <v>2526</v>
      </c>
      <c r="G546" s="17" t="s">
        <v>1628</v>
      </c>
      <c r="H546" s="18">
        <v>5965</v>
      </c>
      <c r="I546" s="18">
        <v>7.0387007543999998</v>
      </c>
      <c r="J546" s="18">
        <v>41985.85</v>
      </c>
      <c r="K546" s="17" t="s">
        <v>2527</v>
      </c>
      <c r="L546" s="23" t="s">
        <v>2528</v>
      </c>
    </row>
    <row r="547" spans="1:12">
      <c r="A547" s="19">
        <v>547</v>
      </c>
      <c r="B547" s="19"/>
      <c r="C547" s="19"/>
      <c r="D547" s="19"/>
      <c r="E547" s="17" t="s">
        <v>2584</v>
      </c>
      <c r="F547" s="17" t="s">
        <v>2067</v>
      </c>
      <c r="G547" s="17" t="s">
        <v>575</v>
      </c>
      <c r="H547" s="18">
        <v>9028</v>
      </c>
      <c r="I547" s="18">
        <v>7.0935999113800001</v>
      </c>
      <c r="J547" s="18">
        <v>64041.02</v>
      </c>
      <c r="K547" s="17" t="s">
        <v>2440</v>
      </c>
      <c r="L547" s="23" t="s">
        <v>2585</v>
      </c>
    </row>
    <row r="548" spans="1:12">
      <c r="A548" s="19">
        <v>548</v>
      </c>
      <c r="B548" s="19"/>
      <c r="C548" s="19"/>
      <c r="D548" s="19"/>
      <c r="E548" s="17" t="s">
        <v>2584</v>
      </c>
      <c r="F548" s="17" t="s">
        <v>2061</v>
      </c>
      <c r="G548" s="17" t="s">
        <v>453</v>
      </c>
      <c r="H548" s="18">
        <v>145505.98000000001</v>
      </c>
      <c r="I548" s="18">
        <v>7.0936000018599996</v>
      </c>
      <c r="J548" s="18">
        <v>1032161.22</v>
      </c>
      <c r="K548" s="17" t="s">
        <v>2442</v>
      </c>
      <c r="L548" s="23" t="s">
        <v>2586</v>
      </c>
    </row>
    <row r="549" spans="1:12">
      <c r="A549" s="19">
        <v>549</v>
      </c>
      <c r="B549" s="19"/>
      <c r="C549" s="19"/>
      <c r="D549" s="19"/>
      <c r="E549" s="17" t="s">
        <v>2584</v>
      </c>
      <c r="F549" s="17" t="s">
        <v>2067</v>
      </c>
      <c r="G549" s="17" t="s">
        <v>575</v>
      </c>
      <c r="H549" s="18">
        <v>8839</v>
      </c>
      <c r="I549" s="18">
        <v>7.0935999547400002</v>
      </c>
      <c r="J549" s="18">
        <v>62700.33</v>
      </c>
      <c r="K549" s="17" t="s">
        <v>2442</v>
      </c>
      <c r="L549" s="23" t="s">
        <v>2585</v>
      </c>
    </row>
    <row r="550" spans="1:12">
      <c r="A550" s="19">
        <v>550</v>
      </c>
      <c r="B550" s="19"/>
      <c r="C550" s="19"/>
      <c r="D550" s="19"/>
      <c r="E550" s="17" t="s">
        <v>2584</v>
      </c>
      <c r="F550" s="17" t="s">
        <v>2071</v>
      </c>
      <c r="G550" s="17" t="s">
        <v>453</v>
      </c>
      <c r="H550" s="18">
        <v>19966.080000000002</v>
      </c>
      <c r="I550" s="18">
        <v>7.0933002372000002</v>
      </c>
      <c r="J550" s="18">
        <v>141625.4</v>
      </c>
      <c r="K550" s="17" t="s">
        <v>2442</v>
      </c>
      <c r="L550" s="23" t="s">
        <v>2587</v>
      </c>
    </row>
    <row r="551" spans="1:12">
      <c r="A551" s="19">
        <v>551</v>
      </c>
      <c r="B551" s="19"/>
      <c r="C551" s="19"/>
      <c r="D551" s="19"/>
      <c r="E551" s="17" t="s">
        <v>2584</v>
      </c>
      <c r="F551" s="17" t="s">
        <v>2074</v>
      </c>
      <c r="G551" s="17" t="s">
        <v>670</v>
      </c>
      <c r="H551" s="18">
        <v>58977</v>
      </c>
      <c r="I551" s="18">
        <v>7.0932999304799997</v>
      </c>
      <c r="J551" s="18">
        <v>418341.55</v>
      </c>
      <c r="K551" s="17" t="s">
        <v>2442</v>
      </c>
      <c r="L551" s="23" t="s">
        <v>2588</v>
      </c>
    </row>
    <row r="552" spans="1:12">
      <c r="A552" s="19">
        <v>552</v>
      </c>
      <c r="B552" s="19"/>
      <c r="C552" s="19"/>
      <c r="D552" s="19"/>
      <c r="E552" s="17" t="s">
        <v>2584</v>
      </c>
      <c r="F552" s="17" t="s">
        <v>2078</v>
      </c>
      <c r="G552" s="17" t="s">
        <v>394</v>
      </c>
      <c r="H552" s="18">
        <v>19724.3</v>
      </c>
      <c r="I552" s="18">
        <v>7.0933001424600004</v>
      </c>
      <c r="J552" s="18">
        <v>139910.38</v>
      </c>
      <c r="K552" s="16" t="s">
        <v>2039</v>
      </c>
      <c r="L552" s="23" t="s">
        <v>2589</v>
      </c>
    </row>
    <row r="553" spans="1:12">
      <c r="A553" s="19">
        <v>553</v>
      </c>
      <c r="B553" s="19"/>
      <c r="C553" s="19"/>
      <c r="D553" s="19"/>
      <c r="E553" s="17" t="s">
        <v>2590</v>
      </c>
      <c r="F553" s="17" t="s">
        <v>2519</v>
      </c>
      <c r="G553" s="17" t="s">
        <v>453</v>
      </c>
      <c r="H553" s="18">
        <v>67630.14</v>
      </c>
      <c r="I553" s="18">
        <v>7.0692700029799997</v>
      </c>
      <c r="J553" s="18">
        <v>478095.72</v>
      </c>
      <c r="K553" s="16" t="s">
        <v>2039</v>
      </c>
      <c r="L553" s="23" t="s">
        <v>2591</v>
      </c>
    </row>
    <row r="554" spans="1:12">
      <c r="A554" s="19">
        <v>554</v>
      </c>
      <c r="B554" s="19"/>
      <c r="C554" s="19"/>
      <c r="D554" s="19"/>
      <c r="E554" s="17" t="s">
        <v>2590</v>
      </c>
      <c r="F554" s="17" t="s">
        <v>2051</v>
      </c>
      <c r="G554" s="17" t="s">
        <v>690</v>
      </c>
      <c r="H554" s="18">
        <v>89623.86</v>
      </c>
      <c r="I554" s="18">
        <v>7.0666000103000002</v>
      </c>
      <c r="J554" s="18">
        <v>633335.97</v>
      </c>
      <c r="K554" s="17" t="s">
        <v>2440</v>
      </c>
      <c r="L554" s="23" t="s">
        <v>2592</v>
      </c>
    </row>
    <row r="555" spans="1:12">
      <c r="A555" s="19">
        <v>555</v>
      </c>
      <c r="B555" s="19"/>
      <c r="C555" s="19"/>
      <c r="D555" s="19"/>
      <c r="E555" s="17" t="s">
        <v>2590</v>
      </c>
      <c r="F555" s="17" t="s">
        <v>2047</v>
      </c>
      <c r="G555" s="17" t="s">
        <v>394</v>
      </c>
      <c r="H555" s="18">
        <v>66239.990000000005</v>
      </c>
      <c r="I555" s="18">
        <v>7.0667000402599998</v>
      </c>
      <c r="J555" s="18">
        <v>468098.14</v>
      </c>
      <c r="K555" s="17" t="s">
        <v>2440</v>
      </c>
      <c r="L555" s="23" t="s">
        <v>2556</v>
      </c>
    </row>
    <row r="556" spans="1:12">
      <c r="A556" s="19">
        <v>556</v>
      </c>
      <c r="B556" s="19"/>
      <c r="C556" s="19"/>
      <c r="D556" s="19"/>
      <c r="E556" s="17" t="s">
        <v>2590</v>
      </c>
      <c r="F556" s="17" t="s">
        <v>2047</v>
      </c>
      <c r="G556" s="17" t="s">
        <v>394</v>
      </c>
      <c r="H556" s="18">
        <v>69840.600000000006</v>
      </c>
      <c r="I556" s="18">
        <v>7.0667000283499997</v>
      </c>
      <c r="J556" s="18">
        <v>493542.57</v>
      </c>
      <c r="K556" s="17" t="s">
        <v>2440</v>
      </c>
      <c r="L556" s="23" t="s">
        <v>2556</v>
      </c>
    </row>
    <row r="557" spans="1:12">
      <c r="A557" s="19">
        <v>557</v>
      </c>
      <c r="B557" s="19"/>
      <c r="C557" s="19"/>
      <c r="D557" s="19"/>
      <c r="E557" s="17" t="s">
        <v>2590</v>
      </c>
      <c r="F557" s="17" t="s">
        <v>2097</v>
      </c>
      <c r="G557" s="17" t="s">
        <v>394</v>
      </c>
      <c r="H557" s="18">
        <v>202580.33</v>
      </c>
      <c r="I557" s="18">
        <v>7.0675999984700004</v>
      </c>
      <c r="J557" s="18">
        <v>1431756.74</v>
      </c>
      <c r="K557" s="17" t="s">
        <v>2440</v>
      </c>
      <c r="L557" s="23" t="s">
        <v>2593</v>
      </c>
    </row>
    <row r="558" spans="1:12">
      <c r="A558" s="19">
        <v>558</v>
      </c>
      <c r="B558" s="19"/>
      <c r="C558" s="19"/>
      <c r="D558" s="19"/>
      <c r="E558" s="17" t="s">
        <v>2594</v>
      </c>
      <c r="F558" s="17" t="s">
        <v>2071</v>
      </c>
      <c r="G558" s="17" t="s">
        <v>453</v>
      </c>
      <c r="H558" s="18">
        <v>19966.080000000002</v>
      </c>
      <c r="I558" s="18">
        <v>7.0758000568900004</v>
      </c>
      <c r="J558" s="18">
        <v>141275.99</v>
      </c>
      <c r="K558" s="17" t="s">
        <v>2442</v>
      </c>
      <c r="L558" s="23" t="s">
        <v>2595</v>
      </c>
    </row>
    <row r="559" spans="1:12">
      <c r="A559" s="19">
        <v>559</v>
      </c>
      <c r="B559" s="19"/>
      <c r="C559" s="19"/>
      <c r="D559" s="19"/>
      <c r="E559" s="17" t="s">
        <v>2596</v>
      </c>
      <c r="F559" s="17" t="s">
        <v>2526</v>
      </c>
      <c r="G559" s="17" t="s">
        <v>1628</v>
      </c>
      <c r="H559" s="18">
        <v>14965</v>
      </c>
      <c r="I559" s="18">
        <v>7.0727003007000002</v>
      </c>
      <c r="J559" s="18">
        <v>105842.96</v>
      </c>
      <c r="K559" s="17" t="s">
        <v>2527</v>
      </c>
      <c r="L559" s="23" t="s">
        <v>2528</v>
      </c>
    </row>
    <row r="560" spans="1:12">
      <c r="A560" s="19">
        <v>560</v>
      </c>
      <c r="B560" s="19"/>
      <c r="C560" s="19"/>
      <c r="D560" s="19"/>
      <c r="E560" s="17" t="s">
        <v>2597</v>
      </c>
      <c r="F560" s="17" t="s">
        <v>2051</v>
      </c>
      <c r="G560" s="17" t="s">
        <v>690</v>
      </c>
      <c r="H560" s="18">
        <v>108452.04</v>
      </c>
      <c r="I560" s="18">
        <v>7.0891999818500002</v>
      </c>
      <c r="J560" s="18">
        <v>768838.2</v>
      </c>
      <c r="K560" s="17" t="s">
        <v>2442</v>
      </c>
      <c r="L560" s="23" t="s">
        <v>2598</v>
      </c>
    </row>
    <row r="561" spans="1:12">
      <c r="A561" s="19">
        <v>561</v>
      </c>
      <c r="B561" s="19"/>
      <c r="C561" s="19"/>
      <c r="D561" s="19"/>
      <c r="E561" s="17" t="s">
        <v>2599</v>
      </c>
      <c r="F561" s="17" t="s">
        <v>2078</v>
      </c>
      <c r="G561" s="17" t="s">
        <v>394</v>
      </c>
      <c r="H561" s="18">
        <v>188923.46</v>
      </c>
      <c r="I561" s="18">
        <v>7.0899000049999996</v>
      </c>
      <c r="J561" s="18">
        <v>1339448.44</v>
      </c>
      <c r="K561" s="16" t="s">
        <v>2039</v>
      </c>
      <c r="L561" s="23" t="s">
        <v>2600</v>
      </c>
    </row>
    <row r="562" spans="1:12">
      <c r="A562" s="19">
        <v>562</v>
      </c>
      <c r="B562" s="19"/>
      <c r="C562" s="19"/>
      <c r="D562" s="19"/>
      <c r="E562" s="17" t="s">
        <v>2599</v>
      </c>
      <c r="F562" s="17" t="s">
        <v>2061</v>
      </c>
      <c r="G562" s="17" t="s">
        <v>453</v>
      </c>
      <c r="H562" s="18">
        <v>118164.51</v>
      </c>
      <c r="I562" s="18">
        <v>7.0899000046599996</v>
      </c>
      <c r="J562" s="18">
        <v>837774.56</v>
      </c>
      <c r="K562" s="17" t="s">
        <v>2440</v>
      </c>
      <c r="L562" s="23" t="s">
        <v>2601</v>
      </c>
    </row>
    <row r="563" spans="1:12">
      <c r="A563" s="19">
        <v>563</v>
      </c>
      <c r="B563" s="19"/>
      <c r="C563" s="19"/>
      <c r="D563" s="19"/>
      <c r="E563" s="17" t="s">
        <v>2599</v>
      </c>
      <c r="F563" s="17" t="s">
        <v>2465</v>
      </c>
      <c r="G563" s="17" t="s">
        <v>459</v>
      </c>
      <c r="H563" s="18">
        <v>113423.15</v>
      </c>
      <c r="I563" s="18">
        <v>7.0898999895500001</v>
      </c>
      <c r="J563" s="18">
        <v>804158.79</v>
      </c>
      <c r="K563" s="17" t="s">
        <v>2442</v>
      </c>
      <c r="L563" s="23" t="s">
        <v>2602</v>
      </c>
    </row>
    <row r="564" spans="1:12">
      <c r="A564" s="19">
        <v>564</v>
      </c>
      <c r="B564" s="19"/>
      <c r="C564" s="19"/>
      <c r="D564" s="19"/>
      <c r="E564" s="17" t="s">
        <v>2599</v>
      </c>
      <c r="F564" s="17" t="s">
        <v>2201</v>
      </c>
      <c r="G564" s="17" t="s">
        <v>394</v>
      </c>
      <c r="H564" s="18">
        <v>16900.419999999998</v>
      </c>
      <c r="I564" s="18">
        <v>7.0899001326500004</v>
      </c>
      <c r="J564" s="18">
        <v>119822.29</v>
      </c>
      <c r="K564" s="17" t="s">
        <v>2440</v>
      </c>
      <c r="L564" s="23" t="s">
        <v>2528</v>
      </c>
    </row>
    <row r="565" spans="1:12">
      <c r="A565" s="19">
        <v>565</v>
      </c>
      <c r="B565" s="19"/>
      <c r="C565" s="19"/>
      <c r="D565" s="19"/>
      <c r="E565" s="17" t="s">
        <v>2599</v>
      </c>
      <c r="F565" s="17" t="s">
        <v>2476</v>
      </c>
      <c r="G565" s="17" t="s">
        <v>394</v>
      </c>
      <c r="H565" s="18">
        <v>16612.62</v>
      </c>
      <c r="I565" s="18">
        <v>7.0974999729099997</v>
      </c>
      <c r="J565" s="18">
        <v>117908.07</v>
      </c>
      <c r="K565" s="17" t="s">
        <v>2442</v>
      </c>
      <c r="L565" s="23" t="s">
        <v>2575</v>
      </c>
    </row>
    <row r="566" spans="1:12">
      <c r="A566" s="19">
        <v>566</v>
      </c>
      <c r="B566" s="19"/>
      <c r="C566" s="19"/>
      <c r="D566" s="19"/>
      <c r="E566" s="17" t="s">
        <v>2599</v>
      </c>
      <c r="F566" s="17" t="s">
        <v>2056</v>
      </c>
      <c r="G566" s="17" t="s">
        <v>394</v>
      </c>
      <c r="H566" s="18">
        <v>19111.05</v>
      </c>
      <c r="I566" s="18">
        <v>7.09750013735</v>
      </c>
      <c r="J566" s="18">
        <v>135640.68</v>
      </c>
      <c r="K566" s="17" t="s">
        <v>2442</v>
      </c>
      <c r="L566" s="23" t="s">
        <v>2534</v>
      </c>
    </row>
    <row r="567" spans="1:12">
      <c r="A567" s="19">
        <v>567</v>
      </c>
      <c r="B567" s="19"/>
      <c r="C567" s="19"/>
      <c r="D567" s="19"/>
      <c r="E567" s="17" t="s">
        <v>2603</v>
      </c>
      <c r="F567" s="17" t="s">
        <v>2078</v>
      </c>
      <c r="G567" s="17" t="s">
        <v>394</v>
      </c>
      <c r="H567" s="18">
        <v>50076.89</v>
      </c>
      <c r="I567" s="18">
        <v>7.0955999863399999</v>
      </c>
      <c r="J567" s="18">
        <v>355325.58</v>
      </c>
      <c r="K567" s="17" t="s">
        <v>2440</v>
      </c>
      <c r="L567" s="23" t="s">
        <v>2604</v>
      </c>
    </row>
    <row r="568" spans="1:12">
      <c r="A568" s="19">
        <v>568</v>
      </c>
      <c r="B568" s="19"/>
      <c r="C568" s="19"/>
      <c r="D568" s="19"/>
      <c r="E568" s="17" t="s">
        <v>2603</v>
      </c>
      <c r="F568" s="17" t="s">
        <v>2097</v>
      </c>
      <c r="G568" s="17" t="s">
        <v>394</v>
      </c>
      <c r="H568" s="18">
        <v>14052.65</v>
      </c>
      <c r="I568" s="18">
        <v>7.09559976232</v>
      </c>
      <c r="J568" s="18">
        <v>99711.98</v>
      </c>
      <c r="K568" s="17" t="s">
        <v>2440</v>
      </c>
      <c r="L568" s="23" t="s">
        <v>2605</v>
      </c>
    </row>
    <row r="569" spans="1:12">
      <c r="A569" s="19">
        <v>569</v>
      </c>
      <c r="B569" s="19"/>
      <c r="C569" s="19"/>
      <c r="D569" s="19"/>
      <c r="E569" s="17" t="s">
        <v>2603</v>
      </c>
      <c r="F569" s="17" t="s">
        <v>2246</v>
      </c>
      <c r="G569" s="17" t="s">
        <v>394</v>
      </c>
      <c r="H569" s="18">
        <v>17513.78</v>
      </c>
      <c r="I569" s="18">
        <v>7.0956001502800001</v>
      </c>
      <c r="J569" s="18">
        <v>124270.78</v>
      </c>
      <c r="K569" s="17" t="s">
        <v>2442</v>
      </c>
      <c r="L569" s="23" t="s">
        <v>2571</v>
      </c>
    </row>
    <row r="570" spans="1:12">
      <c r="A570" s="19">
        <v>570</v>
      </c>
      <c r="B570" s="19"/>
      <c r="C570" s="19"/>
      <c r="D570" s="19"/>
      <c r="E570" s="17" t="s">
        <v>2603</v>
      </c>
      <c r="F570" s="17" t="s">
        <v>2061</v>
      </c>
      <c r="G570" s="17" t="s">
        <v>453</v>
      </c>
      <c r="H570" s="18">
        <v>162130.48000000001</v>
      </c>
      <c r="I570" s="18">
        <v>7.0955999760099999</v>
      </c>
      <c r="J570" s="18">
        <v>1150413.03</v>
      </c>
      <c r="K570" s="17" t="s">
        <v>2440</v>
      </c>
      <c r="L570" s="23" t="s">
        <v>2606</v>
      </c>
    </row>
    <row r="571" spans="1:12">
      <c r="A571" s="19">
        <v>571</v>
      </c>
      <c r="B571" s="19"/>
      <c r="C571" s="19"/>
      <c r="D571" s="19"/>
      <c r="E571" s="17" t="s">
        <v>2607</v>
      </c>
      <c r="F571" s="17" t="s">
        <v>2167</v>
      </c>
      <c r="G571" s="17" t="s">
        <v>394</v>
      </c>
      <c r="H571" s="18">
        <v>20312.939999999999</v>
      </c>
      <c r="I571" s="18">
        <v>7.0971001735800003</v>
      </c>
      <c r="J571" s="18">
        <v>144162.97</v>
      </c>
      <c r="K571" s="17" t="s">
        <v>2442</v>
      </c>
      <c r="L571" s="23" t="s">
        <v>2608</v>
      </c>
    </row>
    <row r="572" spans="1:12">
      <c r="A572" s="19">
        <v>572</v>
      </c>
      <c r="B572" s="19"/>
      <c r="C572" s="19"/>
      <c r="D572" s="19"/>
      <c r="E572" s="17" t="s">
        <v>2609</v>
      </c>
      <c r="F572" s="17" t="s">
        <v>2051</v>
      </c>
      <c r="G572" s="17" t="s">
        <v>690</v>
      </c>
      <c r="H572" s="18">
        <v>76137.25</v>
      </c>
      <c r="I572" s="18">
        <v>7.1113000535199999</v>
      </c>
      <c r="J572" s="18">
        <v>541434.82999999996</v>
      </c>
      <c r="K572" s="17" t="s">
        <v>2442</v>
      </c>
      <c r="L572" s="23" t="s">
        <v>2610</v>
      </c>
    </row>
    <row r="573" spans="1:12">
      <c r="A573" s="19">
        <v>573</v>
      </c>
      <c r="B573" s="19"/>
      <c r="C573" s="19"/>
      <c r="D573" s="19"/>
      <c r="E573" s="17" t="s">
        <v>2609</v>
      </c>
      <c r="F573" s="17" t="s">
        <v>2074</v>
      </c>
      <c r="G573" s="17" t="s">
        <v>670</v>
      </c>
      <c r="H573" s="18">
        <v>62401.11</v>
      </c>
      <c r="I573" s="18">
        <v>7.1051000535000002</v>
      </c>
      <c r="J573" s="18">
        <v>443366.13</v>
      </c>
      <c r="K573" s="17" t="s">
        <v>2527</v>
      </c>
      <c r="L573" s="23" t="s">
        <v>2611</v>
      </c>
    </row>
    <row r="574" spans="1:12">
      <c r="A574" s="19">
        <v>574</v>
      </c>
      <c r="B574" s="19"/>
      <c r="C574" s="19"/>
      <c r="D574" s="19"/>
      <c r="E574" s="17" t="s">
        <v>2612</v>
      </c>
      <c r="F574" s="17" t="s">
        <v>2056</v>
      </c>
      <c r="G574" s="17" t="s">
        <v>394</v>
      </c>
      <c r="H574" s="18">
        <v>20275.61</v>
      </c>
      <c r="I574" s="18">
        <v>7.1342001547600002</v>
      </c>
      <c r="J574" s="18">
        <v>144650.26</v>
      </c>
      <c r="K574" s="17" t="s">
        <v>2442</v>
      </c>
      <c r="L574" s="23" t="s">
        <v>2534</v>
      </c>
    </row>
    <row r="575" spans="1:12">
      <c r="A575" s="19">
        <v>575</v>
      </c>
      <c r="B575" s="19"/>
      <c r="C575" s="19"/>
      <c r="D575" s="19"/>
      <c r="E575" s="17" t="s">
        <v>2612</v>
      </c>
      <c r="F575" s="17" t="s">
        <v>2097</v>
      </c>
      <c r="G575" s="17" t="s">
        <v>394</v>
      </c>
      <c r="H575" s="18">
        <v>258685.14</v>
      </c>
      <c r="I575" s="18">
        <v>7.13429998336</v>
      </c>
      <c r="J575" s="18">
        <v>1845537.39</v>
      </c>
      <c r="K575" s="17" t="s">
        <v>2440</v>
      </c>
      <c r="L575" s="23" t="s">
        <v>2605</v>
      </c>
    </row>
    <row r="576" spans="1:12">
      <c r="A576" s="19">
        <v>576</v>
      </c>
      <c r="B576" s="19"/>
      <c r="C576" s="19"/>
      <c r="D576" s="19"/>
      <c r="E576" s="17" t="s">
        <v>2612</v>
      </c>
      <c r="F576" s="17" t="s">
        <v>2350</v>
      </c>
      <c r="G576" s="17" t="s">
        <v>387</v>
      </c>
      <c r="H576" s="18">
        <v>29715.98</v>
      </c>
      <c r="I576" s="18">
        <v>7.1260998291100002</v>
      </c>
      <c r="J576" s="18">
        <v>211759.04</v>
      </c>
      <c r="K576" s="17" t="s">
        <v>2542</v>
      </c>
      <c r="L576" s="23" t="s">
        <v>2613</v>
      </c>
    </row>
    <row r="577" spans="1:12">
      <c r="A577" s="19">
        <v>577</v>
      </c>
      <c r="B577" s="19"/>
      <c r="C577" s="19"/>
      <c r="D577" s="19"/>
      <c r="E577" s="17" t="s">
        <v>2614</v>
      </c>
      <c r="F577" s="17" t="s">
        <v>2465</v>
      </c>
      <c r="G577" s="17" t="s">
        <v>459</v>
      </c>
      <c r="H577" s="18">
        <v>177142.78</v>
      </c>
      <c r="I577" s="18">
        <v>7.1273000231700001</v>
      </c>
      <c r="J577" s="18">
        <v>1262549.74</v>
      </c>
      <c r="K577" s="17" t="s">
        <v>2442</v>
      </c>
      <c r="L577" s="23" t="s">
        <v>2615</v>
      </c>
    </row>
    <row r="578" spans="1:12">
      <c r="A578" s="19">
        <v>578</v>
      </c>
      <c r="B578" s="19"/>
      <c r="C578" s="19"/>
      <c r="D578" s="19"/>
      <c r="E578" s="17" t="s">
        <v>2614</v>
      </c>
      <c r="F578" s="17" t="s">
        <v>2074</v>
      </c>
      <c r="G578" s="17" t="s">
        <v>670</v>
      </c>
      <c r="H578" s="18">
        <v>98724.37</v>
      </c>
      <c r="I578" s="18">
        <v>7.1190999750100001</v>
      </c>
      <c r="J578" s="18">
        <v>702828.66</v>
      </c>
      <c r="K578" s="17" t="s">
        <v>2527</v>
      </c>
      <c r="L578" s="23" t="s">
        <v>2616</v>
      </c>
    </row>
    <row r="579" spans="1:12">
      <c r="A579" s="19">
        <v>579</v>
      </c>
      <c r="B579" s="19"/>
      <c r="C579" s="19"/>
      <c r="D579" s="19"/>
      <c r="E579" s="17" t="s">
        <v>2614</v>
      </c>
      <c r="F579" s="17" t="s">
        <v>2074</v>
      </c>
      <c r="G579" s="17" t="s">
        <v>670</v>
      </c>
      <c r="H579" s="18">
        <v>107424.99</v>
      </c>
      <c r="I579" s="18">
        <v>7.1435000366299999</v>
      </c>
      <c r="J579" s="18">
        <v>767390.42</v>
      </c>
      <c r="K579" s="17" t="s">
        <v>2527</v>
      </c>
      <c r="L579" s="23" t="s">
        <v>2616</v>
      </c>
    </row>
    <row r="580" spans="1:12">
      <c r="A580" s="19">
        <v>580</v>
      </c>
      <c r="B580" s="19"/>
      <c r="C580" s="19"/>
      <c r="D580" s="19"/>
      <c r="E580" s="17" t="s">
        <v>2614</v>
      </c>
      <c r="F580" s="17" t="s">
        <v>2101</v>
      </c>
      <c r="G580" s="17" t="s">
        <v>394</v>
      </c>
      <c r="H580" s="18">
        <v>20476.259999999998</v>
      </c>
      <c r="I580" s="18">
        <v>7.1595999464700002</v>
      </c>
      <c r="J580" s="18">
        <v>146601.82999999999</v>
      </c>
      <c r="K580" s="17" t="s">
        <v>2442</v>
      </c>
      <c r="L580" s="23" t="s">
        <v>2581</v>
      </c>
    </row>
    <row r="581" spans="1:12">
      <c r="A581" s="19">
        <v>581</v>
      </c>
      <c r="B581" s="19"/>
      <c r="C581" s="19"/>
      <c r="D581" s="19"/>
      <c r="E581" s="17" t="s">
        <v>2614</v>
      </c>
      <c r="F581" s="17" t="s">
        <v>2519</v>
      </c>
      <c r="G581" s="17" t="s">
        <v>453</v>
      </c>
      <c r="H581" s="18">
        <v>45584.47</v>
      </c>
      <c r="I581" s="18">
        <v>7.1595999690200003</v>
      </c>
      <c r="J581" s="18">
        <v>326366.57</v>
      </c>
      <c r="K581" s="17" t="s">
        <v>2442</v>
      </c>
      <c r="L581" s="23" t="s">
        <v>2617</v>
      </c>
    </row>
    <row r="582" spans="1:12">
      <c r="A582" s="19">
        <v>582</v>
      </c>
      <c r="B582" s="19"/>
      <c r="C582" s="19"/>
      <c r="D582" s="19"/>
      <c r="E582" s="17" t="s">
        <v>2614</v>
      </c>
      <c r="F582" s="17" t="s">
        <v>2101</v>
      </c>
      <c r="G582" s="17" t="s">
        <v>394</v>
      </c>
      <c r="H582" s="18">
        <v>20392.37</v>
      </c>
      <c r="I582" s="18">
        <v>7.1595998895599999</v>
      </c>
      <c r="J582" s="18">
        <v>146001.21</v>
      </c>
      <c r="K582" s="17" t="s">
        <v>2442</v>
      </c>
      <c r="L582" s="23" t="s">
        <v>2573</v>
      </c>
    </row>
    <row r="583" spans="1:12">
      <c r="A583" s="19">
        <v>583</v>
      </c>
      <c r="B583" s="19"/>
      <c r="C583" s="19"/>
      <c r="D583" s="19"/>
      <c r="E583" s="17" t="s">
        <v>2614</v>
      </c>
      <c r="F583" s="17" t="s">
        <v>2071</v>
      </c>
      <c r="G583" s="17" t="s">
        <v>453</v>
      </c>
      <c r="H583" s="18">
        <v>41906.080000000002</v>
      </c>
      <c r="I583" s="18">
        <v>7.1595999912100003</v>
      </c>
      <c r="J583" s="18">
        <v>300030.77</v>
      </c>
      <c r="K583" s="17" t="s">
        <v>2442</v>
      </c>
      <c r="L583" s="23" t="s">
        <v>2618</v>
      </c>
    </row>
    <row r="584" spans="1:12">
      <c r="A584" s="19">
        <v>584</v>
      </c>
      <c r="B584" s="19"/>
      <c r="C584" s="19"/>
      <c r="D584" s="19"/>
      <c r="E584" s="17" t="s">
        <v>2614</v>
      </c>
      <c r="F584" s="17" t="s">
        <v>2578</v>
      </c>
      <c r="G584" s="17" t="s">
        <v>394</v>
      </c>
      <c r="H584" s="18">
        <v>38920.78</v>
      </c>
      <c r="I584" s="18">
        <v>7.1409000539000003</v>
      </c>
      <c r="J584" s="18">
        <v>277929.40000000002</v>
      </c>
      <c r="K584" s="17" t="s">
        <v>2442</v>
      </c>
      <c r="L584" s="23" t="s">
        <v>2579</v>
      </c>
    </row>
    <row r="585" spans="1:12">
      <c r="A585" s="19">
        <v>585</v>
      </c>
      <c r="B585" s="19"/>
      <c r="C585" s="19"/>
      <c r="D585" s="19"/>
      <c r="E585" s="17" t="s">
        <v>2614</v>
      </c>
      <c r="F585" s="17" t="s">
        <v>2054</v>
      </c>
      <c r="G585" s="17" t="s">
        <v>453</v>
      </c>
      <c r="H585" s="18">
        <v>20766.05</v>
      </c>
      <c r="I585" s="18">
        <v>7.1415998709400004</v>
      </c>
      <c r="J585" s="18">
        <v>148302.82</v>
      </c>
      <c r="K585" s="17" t="s">
        <v>2442</v>
      </c>
      <c r="L585" s="23" t="s">
        <v>2619</v>
      </c>
    </row>
    <row r="586" spans="1:12">
      <c r="A586" s="19">
        <v>586</v>
      </c>
      <c r="B586" s="19"/>
      <c r="C586" s="19"/>
      <c r="D586" s="19"/>
      <c r="E586" s="17" t="s">
        <v>2614</v>
      </c>
      <c r="F586" s="17" t="s">
        <v>2056</v>
      </c>
      <c r="G586" s="17" t="s">
        <v>394</v>
      </c>
      <c r="H586" s="18">
        <v>18560.419999999998</v>
      </c>
      <c r="I586" s="18">
        <v>7.1416002439500001</v>
      </c>
      <c r="J586" s="18">
        <v>132551.1</v>
      </c>
      <c r="K586" s="17" t="s">
        <v>2442</v>
      </c>
      <c r="L586" s="23" t="s">
        <v>2534</v>
      </c>
    </row>
    <row r="587" spans="1:12">
      <c r="A587" s="19">
        <v>587</v>
      </c>
      <c r="B587" s="19"/>
      <c r="C587" s="19"/>
      <c r="D587" s="19"/>
      <c r="E587" s="19" t="s">
        <v>2620</v>
      </c>
      <c r="F587" s="17" t="s">
        <v>2061</v>
      </c>
      <c r="G587" s="17" t="s">
        <v>453</v>
      </c>
      <c r="H587" s="18">
        <v>157620.79999999999</v>
      </c>
      <c r="I587" s="18">
        <v>7.1147000268999996</v>
      </c>
      <c r="J587" s="18">
        <v>1121424.71</v>
      </c>
      <c r="K587" s="17" t="s">
        <v>2442</v>
      </c>
      <c r="L587" s="23" t="s">
        <v>2621</v>
      </c>
    </row>
    <row r="588" spans="1:12">
      <c r="A588" s="19">
        <v>588</v>
      </c>
      <c r="B588" s="19"/>
      <c r="C588" s="19"/>
      <c r="D588" s="19"/>
      <c r="E588" s="17" t="s">
        <v>2622</v>
      </c>
      <c r="F588" s="17" t="s">
        <v>2078</v>
      </c>
      <c r="G588" s="17" t="s">
        <v>394</v>
      </c>
      <c r="H588" s="18">
        <v>416917.78</v>
      </c>
      <c r="I588" s="18">
        <v>7.1046999962399999</v>
      </c>
      <c r="J588" s="18">
        <v>2962075.75</v>
      </c>
      <c r="K588" s="17" t="s">
        <v>2440</v>
      </c>
      <c r="L588" s="23" t="s">
        <v>2623</v>
      </c>
    </row>
    <row r="589" spans="1:12">
      <c r="A589" s="19">
        <v>589</v>
      </c>
      <c r="B589" s="19"/>
      <c r="C589" s="19"/>
      <c r="D589" s="19"/>
      <c r="E589" s="17" t="s">
        <v>2622</v>
      </c>
      <c r="F589" s="17" t="s">
        <v>2097</v>
      </c>
      <c r="G589" s="17" t="s">
        <v>394</v>
      </c>
      <c r="H589" s="18">
        <v>133996.95000000001</v>
      </c>
      <c r="I589" s="18">
        <v>7.1045999927599999</v>
      </c>
      <c r="J589" s="18">
        <v>951994.73</v>
      </c>
      <c r="K589" s="17" t="s">
        <v>2440</v>
      </c>
      <c r="L589" s="23" t="s">
        <v>2624</v>
      </c>
    </row>
    <row r="590" spans="1:12">
      <c r="A590" s="19">
        <v>590</v>
      </c>
      <c r="B590" s="19"/>
      <c r="C590" s="19"/>
      <c r="D590" s="19"/>
      <c r="E590" s="17" t="s">
        <v>2625</v>
      </c>
      <c r="F590" s="17" t="s">
        <v>2078</v>
      </c>
      <c r="G590" s="17" t="s">
        <v>394</v>
      </c>
      <c r="H590" s="18">
        <v>269488.18</v>
      </c>
      <c r="I590" s="18">
        <v>7.1155999866116</v>
      </c>
      <c r="J590" s="18">
        <v>1917570.09</v>
      </c>
      <c r="K590" s="17" t="s">
        <v>2440</v>
      </c>
      <c r="L590" s="23" t="s">
        <v>2626</v>
      </c>
    </row>
    <row r="591" spans="1:12">
      <c r="A591" s="19">
        <v>591</v>
      </c>
      <c r="B591" s="19"/>
      <c r="C591" s="19"/>
      <c r="D591" s="19"/>
      <c r="E591" s="17" t="s">
        <v>2627</v>
      </c>
      <c r="F591" s="17" t="s">
        <v>2476</v>
      </c>
      <c r="G591" s="17" t="s">
        <v>394</v>
      </c>
      <c r="H591" s="18">
        <v>15000</v>
      </c>
      <c r="I591" s="18">
        <v>7.0758000000000001</v>
      </c>
      <c r="J591" s="18">
        <v>106137</v>
      </c>
      <c r="K591" s="17" t="s">
        <v>2440</v>
      </c>
      <c r="L591" s="23" t="s">
        <v>2628</v>
      </c>
    </row>
    <row r="592" spans="1:12">
      <c r="A592" s="19">
        <v>592</v>
      </c>
      <c r="B592" s="19"/>
      <c r="C592" s="19"/>
      <c r="D592" s="19"/>
      <c r="E592" s="17" t="s">
        <v>2627</v>
      </c>
      <c r="F592" s="17" t="s">
        <v>2629</v>
      </c>
      <c r="G592" s="17" t="s">
        <v>1444</v>
      </c>
      <c r="H592" s="18">
        <v>12580</v>
      </c>
      <c r="I592" s="18">
        <v>7.0757996820300004</v>
      </c>
      <c r="J592" s="18">
        <v>89013.56</v>
      </c>
      <c r="K592" s="17" t="s">
        <v>2440</v>
      </c>
      <c r="L592" s="23" t="s">
        <v>2630</v>
      </c>
    </row>
    <row r="593" spans="1:12">
      <c r="A593" s="19">
        <v>593</v>
      </c>
      <c r="B593" s="19"/>
      <c r="C593" s="19"/>
      <c r="D593" s="19"/>
      <c r="E593" s="17" t="s">
        <v>2627</v>
      </c>
      <c r="F593" s="17" t="s">
        <v>2519</v>
      </c>
      <c r="G593" s="17" t="s">
        <v>453</v>
      </c>
      <c r="H593" s="18">
        <v>44460.29</v>
      </c>
      <c r="I593" s="18">
        <v>7.0758000004000001</v>
      </c>
      <c r="J593" s="18">
        <v>314592.12</v>
      </c>
      <c r="K593" s="17" t="s">
        <v>2553</v>
      </c>
      <c r="L593" s="23" t="s">
        <v>2535</v>
      </c>
    </row>
    <row r="594" spans="1:12">
      <c r="A594" s="19">
        <v>594</v>
      </c>
      <c r="B594" s="19"/>
      <c r="C594" s="19"/>
      <c r="D594" s="19"/>
      <c r="E594" s="17" t="s">
        <v>2631</v>
      </c>
      <c r="F594" s="17" t="s">
        <v>2067</v>
      </c>
      <c r="G594" s="17" t="s">
        <v>575</v>
      </c>
      <c r="H594" s="18">
        <v>7905.4</v>
      </c>
      <c r="I594" s="18">
        <v>7.0661003870699997</v>
      </c>
      <c r="J594" s="18">
        <v>55860.35</v>
      </c>
      <c r="K594" s="17" t="s">
        <v>2440</v>
      </c>
      <c r="L594" s="23" t="s">
        <v>2585</v>
      </c>
    </row>
    <row r="595" spans="1:12">
      <c r="A595" s="19">
        <v>595</v>
      </c>
      <c r="B595" s="19"/>
      <c r="C595" s="19"/>
      <c r="D595" s="19"/>
      <c r="E595" s="17" t="s">
        <v>2631</v>
      </c>
      <c r="F595" s="17" t="s">
        <v>2167</v>
      </c>
      <c r="G595" s="17" t="s">
        <v>394</v>
      </c>
      <c r="H595" s="18">
        <v>29286.42</v>
      </c>
      <c r="I595" s="18">
        <v>7.06609991934</v>
      </c>
      <c r="J595" s="18">
        <v>206940.77</v>
      </c>
      <c r="K595" s="17" t="s">
        <v>2440</v>
      </c>
      <c r="L595" s="23" t="s">
        <v>2632</v>
      </c>
    </row>
    <row r="596" spans="1:12">
      <c r="A596" s="19">
        <v>596</v>
      </c>
      <c r="B596" s="19"/>
      <c r="C596" s="19"/>
      <c r="D596" s="19"/>
      <c r="E596" s="17" t="s">
        <v>2631</v>
      </c>
      <c r="F596" s="17" t="s">
        <v>2043</v>
      </c>
      <c r="G596" s="17" t="s">
        <v>394</v>
      </c>
      <c r="H596" s="18">
        <v>18846.55</v>
      </c>
      <c r="I596" s="18">
        <v>7.0661001615599996</v>
      </c>
      <c r="J596" s="18">
        <v>133171.60999999999</v>
      </c>
      <c r="K596" s="17" t="s">
        <v>2440</v>
      </c>
      <c r="L596" s="23" t="s">
        <v>2576</v>
      </c>
    </row>
    <row r="597" spans="1:12">
      <c r="A597" s="19">
        <v>597</v>
      </c>
      <c r="B597" s="19"/>
      <c r="C597" s="19"/>
      <c r="D597" s="19"/>
      <c r="E597" s="17" t="s">
        <v>2631</v>
      </c>
      <c r="F597" s="17" t="s">
        <v>2165</v>
      </c>
      <c r="G597" s="17" t="s">
        <v>394</v>
      </c>
      <c r="H597" s="18">
        <v>21294.37</v>
      </c>
      <c r="I597" s="18">
        <v>7.0661001006299999</v>
      </c>
      <c r="J597" s="18">
        <v>150468.15</v>
      </c>
      <c r="K597" s="17" t="s">
        <v>2440</v>
      </c>
      <c r="L597" s="23" t="s">
        <v>2633</v>
      </c>
    </row>
    <row r="598" spans="1:12">
      <c r="A598" s="19">
        <v>598</v>
      </c>
      <c r="B598" s="19"/>
      <c r="C598" s="19"/>
      <c r="D598" s="19"/>
      <c r="E598" s="17" t="s">
        <v>2631</v>
      </c>
      <c r="F598" s="17" t="s">
        <v>2056</v>
      </c>
      <c r="G598" s="17" t="s">
        <v>394</v>
      </c>
      <c r="H598" s="18">
        <v>25527.54</v>
      </c>
      <c r="I598" s="18">
        <v>7.0660999845600001</v>
      </c>
      <c r="J598" s="18">
        <v>180380.15</v>
      </c>
      <c r="K598" s="17" t="s">
        <v>2440</v>
      </c>
      <c r="L598" s="23" t="s">
        <v>2634</v>
      </c>
    </row>
    <row r="599" spans="1:12">
      <c r="A599" s="19">
        <v>599</v>
      </c>
      <c r="B599" s="19"/>
      <c r="C599" s="19"/>
      <c r="D599" s="19"/>
      <c r="E599" s="17" t="s">
        <v>2635</v>
      </c>
      <c r="F599" s="17" t="s">
        <v>2061</v>
      </c>
      <c r="G599" s="17" t="s">
        <v>453</v>
      </c>
      <c r="H599" s="18">
        <v>35447.33</v>
      </c>
      <c r="I599" s="18">
        <v>7.0745001104399998</v>
      </c>
      <c r="J599" s="18">
        <v>250772.14</v>
      </c>
      <c r="K599" s="17" t="s">
        <v>2553</v>
      </c>
      <c r="L599" s="23" t="s">
        <v>2636</v>
      </c>
    </row>
    <row r="600" spans="1:12">
      <c r="A600" s="19">
        <v>600</v>
      </c>
      <c r="B600" s="19"/>
      <c r="C600" s="20"/>
      <c r="D600" s="19"/>
      <c r="E600" s="17" t="s">
        <v>2637</v>
      </c>
      <c r="F600" s="17" t="s">
        <v>2089</v>
      </c>
      <c r="G600" s="17" t="s">
        <v>394</v>
      </c>
      <c r="H600" s="18">
        <v>20408.21</v>
      </c>
      <c r="I600" s="18">
        <v>7.0849001455699998</v>
      </c>
      <c r="J600" s="18">
        <v>144590.13</v>
      </c>
      <c r="K600" s="17" t="s">
        <v>2440</v>
      </c>
      <c r="L600" s="23" t="s">
        <v>2574</v>
      </c>
    </row>
    <row r="601" spans="1:12">
      <c r="A601" s="19">
        <v>601</v>
      </c>
      <c r="B601" s="19"/>
      <c r="C601" s="19"/>
      <c r="D601" s="19"/>
      <c r="E601" s="17" t="s">
        <v>2637</v>
      </c>
      <c r="F601" s="17" t="s">
        <v>2101</v>
      </c>
      <c r="G601" s="17" t="s">
        <v>394</v>
      </c>
      <c r="H601" s="18">
        <v>8485</v>
      </c>
      <c r="I601" s="18">
        <v>7.0849004124899997</v>
      </c>
      <c r="J601" s="18">
        <v>60115.38</v>
      </c>
      <c r="K601" s="17" t="s">
        <v>2440</v>
      </c>
      <c r="L601" s="23" t="s">
        <v>2638</v>
      </c>
    </row>
    <row r="602" spans="1:12">
      <c r="A602" s="19">
        <v>602</v>
      </c>
      <c r="B602" s="19"/>
      <c r="C602" s="19"/>
      <c r="D602" s="19"/>
      <c r="E602" s="17" t="s">
        <v>2639</v>
      </c>
      <c r="F602" s="17" t="s">
        <v>2476</v>
      </c>
      <c r="G602" s="17" t="s">
        <v>394</v>
      </c>
      <c r="H602" s="18">
        <v>19327.849999999999</v>
      </c>
      <c r="I602" s="18">
        <v>7.0732999272999999</v>
      </c>
      <c r="J602" s="18">
        <v>136711.67999999999</v>
      </c>
      <c r="K602" s="17" t="s">
        <v>2440</v>
      </c>
      <c r="L602" s="23" t="s">
        <v>2640</v>
      </c>
    </row>
    <row r="603" spans="1:12">
      <c r="A603" s="19">
        <v>603</v>
      </c>
      <c r="B603" s="19"/>
      <c r="C603" s="19"/>
      <c r="D603" s="19"/>
      <c r="E603" s="17" t="s">
        <v>2641</v>
      </c>
      <c r="F603" s="17" t="s">
        <v>2078</v>
      </c>
      <c r="G603" s="17" t="s">
        <v>394</v>
      </c>
      <c r="H603" s="18">
        <v>390477.21</v>
      </c>
      <c r="I603" s="18">
        <v>7.0841999972199998</v>
      </c>
      <c r="J603" s="18">
        <v>2766218.65</v>
      </c>
      <c r="K603" s="17" t="s">
        <v>2440</v>
      </c>
      <c r="L603" s="23" t="s">
        <v>2642</v>
      </c>
    </row>
    <row r="604" spans="1:12">
      <c r="A604" s="19">
        <v>604</v>
      </c>
      <c r="B604" s="19"/>
      <c r="C604" s="19"/>
      <c r="D604" s="19"/>
      <c r="E604" s="17" t="s">
        <v>2641</v>
      </c>
      <c r="F604" s="17" t="s">
        <v>2165</v>
      </c>
      <c r="G604" s="17" t="s">
        <v>394</v>
      </c>
      <c r="H604" s="18">
        <v>25340.23</v>
      </c>
      <c r="I604" s="18">
        <v>7.0847000994</v>
      </c>
      <c r="J604" s="18">
        <v>179527.93</v>
      </c>
      <c r="K604" s="17" t="s">
        <v>2440</v>
      </c>
      <c r="L604" s="23" t="s">
        <v>2643</v>
      </c>
    </row>
    <row r="605" spans="1:12">
      <c r="A605" s="19">
        <v>605</v>
      </c>
      <c r="B605" s="19"/>
      <c r="C605" s="19"/>
      <c r="D605" s="19"/>
      <c r="E605" s="17" t="s">
        <v>2641</v>
      </c>
      <c r="F605" s="17" t="s">
        <v>2201</v>
      </c>
      <c r="G605" s="17" t="s">
        <v>394</v>
      </c>
      <c r="H605" s="18">
        <v>47928.75</v>
      </c>
      <c r="I605" s="18">
        <v>7.0847001017100002</v>
      </c>
      <c r="J605" s="18">
        <v>339560.82</v>
      </c>
      <c r="K605" s="17" t="s">
        <v>2440</v>
      </c>
      <c r="L605" s="23" t="s">
        <v>2644</v>
      </c>
    </row>
    <row r="606" spans="1:12">
      <c r="A606" s="19">
        <v>606</v>
      </c>
      <c r="B606" s="19"/>
      <c r="C606" s="19"/>
      <c r="D606" s="19"/>
      <c r="E606" s="17" t="s">
        <v>2641</v>
      </c>
      <c r="F606" s="17" t="s">
        <v>2061</v>
      </c>
      <c r="G606" s="17" t="s">
        <v>453</v>
      </c>
      <c r="H606" s="18">
        <v>294970.98</v>
      </c>
      <c r="I606" s="18">
        <v>7.0846999931900001</v>
      </c>
      <c r="J606" s="18">
        <v>2089780.9</v>
      </c>
      <c r="K606" s="17" t="s">
        <v>2440</v>
      </c>
      <c r="L606" s="23" t="s">
        <v>2645</v>
      </c>
    </row>
    <row r="607" spans="1:12">
      <c r="A607" s="19">
        <v>607</v>
      </c>
      <c r="B607" s="19"/>
      <c r="C607" s="19"/>
      <c r="D607" s="19"/>
      <c r="E607" s="17" t="s">
        <v>2641</v>
      </c>
      <c r="F607" s="17" t="s">
        <v>2646</v>
      </c>
      <c r="G607" s="17" t="s">
        <v>394</v>
      </c>
      <c r="H607" s="18">
        <v>51476.01</v>
      </c>
      <c r="I607" s="18">
        <v>7.0847000379400003</v>
      </c>
      <c r="J607" s="18">
        <v>364692.09</v>
      </c>
      <c r="K607" s="17" t="s">
        <v>2440</v>
      </c>
      <c r="L607" s="23" t="s">
        <v>2647</v>
      </c>
    </row>
    <row r="608" spans="1:12">
      <c r="A608" s="19">
        <v>608</v>
      </c>
      <c r="B608" s="19"/>
      <c r="C608" s="19"/>
      <c r="D608" s="19"/>
      <c r="E608" s="17" t="s">
        <v>2648</v>
      </c>
      <c r="F608" s="17" t="s">
        <v>2049</v>
      </c>
      <c r="G608" s="17" t="s">
        <v>394</v>
      </c>
      <c r="H608" s="18">
        <v>10080</v>
      </c>
      <c r="I608" s="18">
        <v>7.0765000000000002</v>
      </c>
      <c r="J608" s="18">
        <v>71331.12</v>
      </c>
      <c r="K608" s="17" t="s">
        <v>2440</v>
      </c>
      <c r="L608" s="23" t="s">
        <v>2649</v>
      </c>
    </row>
    <row r="609" spans="1:12">
      <c r="A609" s="19">
        <v>609</v>
      </c>
      <c r="B609" s="19"/>
      <c r="C609" s="19"/>
      <c r="D609" s="19"/>
      <c r="E609" s="17" t="s">
        <v>2648</v>
      </c>
      <c r="F609" s="17" t="s">
        <v>2097</v>
      </c>
      <c r="G609" s="17" t="s">
        <v>394</v>
      </c>
      <c r="H609" s="18">
        <v>117453.09</v>
      </c>
      <c r="I609" s="18">
        <v>7.0768000228799997</v>
      </c>
      <c r="J609" s="18">
        <v>831192.03</v>
      </c>
      <c r="K609" s="17" t="s">
        <v>2553</v>
      </c>
      <c r="L609" s="23" t="s">
        <v>2650</v>
      </c>
    </row>
    <row r="610" spans="1:12">
      <c r="A610" s="19">
        <v>610</v>
      </c>
      <c r="B610" s="19"/>
      <c r="C610" s="19"/>
      <c r="D610" s="19"/>
      <c r="E610" s="17" t="s">
        <v>2648</v>
      </c>
      <c r="F610" s="17" t="s">
        <v>2089</v>
      </c>
      <c r="G610" s="17" t="s">
        <v>394</v>
      </c>
      <c r="H610" s="18">
        <v>19492.68</v>
      </c>
      <c r="I610" s="18">
        <v>7.0768001116299999</v>
      </c>
      <c r="J610" s="18">
        <v>137945.79999999999</v>
      </c>
      <c r="K610" s="17" t="s">
        <v>2442</v>
      </c>
      <c r="L610" s="23" t="s">
        <v>2572</v>
      </c>
    </row>
    <row r="611" spans="1:12">
      <c r="A611" s="19">
        <v>611</v>
      </c>
      <c r="B611" s="19"/>
      <c r="C611" s="19"/>
      <c r="D611" s="19"/>
      <c r="E611" s="17" t="s">
        <v>2648</v>
      </c>
      <c r="F611" s="17" t="s">
        <v>2071</v>
      </c>
      <c r="G611" s="17" t="s">
        <v>453</v>
      </c>
      <c r="H611" s="18">
        <v>39966.080000000002</v>
      </c>
      <c r="I611" s="18">
        <v>7.07679987629</v>
      </c>
      <c r="J611" s="18">
        <v>282831.95</v>
      </c>
      <c r="K611" s="17" t="s">
        <v>2440</v>
      </c>
      <c r="L611" s="23" t="s">
        <v>2651</v>
      </c>
    </row>
    <row r="612" spans="1:12">
      <c r="A612" s="19">
        <v>612</v>
      </c>
      <c r="B612" s="19"/>
      <c r="C612" s="19"/>
      <c r="D612" s="19"/>
      <c r="E612" s="17" t="s">
        <v>2648</v>
      </c>
      <c r="F612" s="17" t="s">
        <v>2051</v>
      </c>
      <c r="G612" s="17" t="s">
        <v>690</v>
      </c>
      <c r="H612" s="18">
        <v>73627.63</v>
      </c>
      <c r="I612" s="18">
        <v>7.07679997305</v>
      </c>
      <c r="J612" s="18">
        <v>521048.01</v>
      </c>
      <c r="K612" s="17" t="s">
        <v>2440</v>
      </c>
      <c r="L612" s="23" t="s">
        <v>2652</v>
      </c>
    </row>
    <row r="613" spans="1:12">
      <c r="A613" s="19">
        <v>613</v>
      </c>
      <c r="B613" s="19"/>
      <c r="C613" s="19"/>
      <c r="D613" s="19"/>
      <c r="E613" s="17" t="s">
        <v>2648</v>
      </c>
      <c r="F613" s="17" t="s">
        <v>2056</v>
      </c>
      <c r="G613" s="17" t="s">
        <v>394</v>
      </c>
      <c r="H613" s="18">
        <v>24854.34</v>
      </c>
      <c r="I613" s="18">
        <v>7.0765001203000004</v>
      </c>
      <c r="J613" s="18">
        <v>175881.74</v>
      </c>
      <c r="K613" s="17" t="s">
        <v>2442</v>
      </c>
      <c r="L613" s="23" t="s">
        <v>2634</v>
      </c>
    </row>
    <row r="614" spans="1:12">
      <c r="A614" s="19">
        <v>614</v>
      </c>
      <c r="B614" s="19"/>
      <c r="C614" s="19"/>
      <c r="D614" s="19"/>
      <c r="E614" s="17" t="s">
        <v>2653</v>
      </c>
      <c r="F614" s="17" t="s">
        <v>2078</v>
      </c>
      <c r="G614" s="17" t="s">
        <v>394</v>
      </c>
      <c r="H614" s="18">
        <v>392138.42</v>
      </c>
      <c r="I614" s="18">
        <v>7.06840000528</v>
      </c>
      <c r="J614" s="18">
        <v>2771791.21</v>
      </c>
      <c r="K614" s="17" t="s">
        <v>2440</v>
      </c>
      <c r="L614" s="23" t="s">
        <v>2642</v>
      </c>
    </row>
    <row r="615" spans="1:12">
      <c r="A615" s="19">
        <v>615</v>
      </c>
      <c r="B615" s="19"/>
      <c r="C615" s="19"/>
      <c r="D615" s="19"/>
      <c r="E615" s="17" t="s">
        <v>2654</v>
      </c>
      <c r="F615" s="17" t="s">
        <v>2167</v>
      </c>
      <c r="G615" s="17" t="s">
        <v>394</v>
      </c>
      <c r="H615" s="18">
        <v>29194.02</v>
      </c>
      <c r="I615" s="18">
        <v>7.0621000465100003</v>
      </c>
      <c r="J615" s="18">
        <v>206171.09</v>
      </c>
      <c r="K615" s="17" t="s">
        <v>2440</v>
      </c>
      <c r="L615" s="23" t="s">
        <v>2655</v>
      </c>
    </row>
    <row r="616" spans="1:12">
      <c r="A616" s="19">
        <v>616</v>
      </c>
      <c r="B616" s="19"/>
      <c r="C616" s="19"/>
      <c r="D616" s="19"/>
      <c r="E616" s="17" t="s">
        <v>2654</v>
      </c>
      <c r="F616" s="17" t="s">
        <v>2041</v>
      </c>
      <c r="G616" s="17" t="s">
        <v>453</v>
      </c>
      <c r="H616" s="18">
        <v>18860.060000000001</v>
      </c>
      <c r="I616" s="18">
        <v>7.0655225911199997</v>
      </c>
      <c r="J616" s="18">
        <v>133256.18</v>
      </c>
      <c r="K616" s="17" t="s">
        <v>2442</v>
      </c>
      <c r="L616" s="23" t="s">
        <v>2656</v>
      </c>
    </row>
    <row r="617" spans="1:12">
      <c r="A617" s="19">
        <v>617</v>
      </c>
      <c r="B617" s="19"/>
      <c r="C617" s="19"/>
      <c r="D617" s="19"/>
      <c r="E617" s="17" t="s">
        <v>2654</v>
      </c>
      <c r="F617" s="17" t="s">
        <v>2061</v>
      </c>
      <c r="G617" s="17" t="s">
        <v>453</v>
      </c>
      <c r="H617" s="18">
        <v>37652.33</v>
      </c>
      <c r="I617" s="18">
        <v>7.0601001319099996</v>
      </c>
      <c r="J617" s="18">
        <v>265829.21999999997</v>
      </c>
      <c r="K617" s="17" t="s">
        <v>2440</v>
      </c>
      <c r="L617" s="23" t="s">
        <v>2657</v>
      </c>
    </row>
    <row r="618" spans="1:12">
      <c r="A618" s="19">
        <v>618</v>
      </c>
      <c r="B618" s="19"/>
      <c r="C618" s="19"/>
      <c r="D618" s="19"/>
      <c r="E618" s="17" t="s">
        <v>2658</v>
      </c>
      <c r="F618" s="17" t="s">
        <v>2074</v>
      </c>
      <c r="G618" s="17" t="s">
        <v>670</v>
      </c>
      <c r="H618" s="18">
        <v>175257.91</v>
      </c>
      <c r="I618" s="18">
        <v>7.0626999453000003</v>
      </c>
      <c r="J618" s="18">
        <v>1237794.04</v>
      </c>
      <c r="K618" s="17" t="s">
        <v>2527</v>
      </c>
      <c r="L618" s="23" t="s">
        <v>2659</v>
      </c>
    </row>
    <row r="619" spans="1:12">
      <c r="A619" s="19">
        <v>619</v>
      </c>
      <c r="B619" s="19"/>
      <c r="C619" s="19"/>
      <c r="D619" s="19"/>
      <c r="E619" s="17" t="s">
        <v>2658</v>
      </c>
      <c r="F619" s="17" t="s">
        <v>2074</v>
      </c>
      <c r="G619" s="17" t="s">
        <v>670</v>
      </c>
      <c r="H619" s="18">
        <v>145245.54999999999</v>
      </c>
      <c r="I619" s="18">
        <v>7.0606999663599996</v>
      </c>
      <c r="J619" s="18">
        <v>1025535.25</v>
      </c>
      <c r="K619" s="17" t="s">
        <v>2527</v>
      </c>
      <c r="L619" s="23" t="s">
        <v>2660</v>
      </c>
    </row>
    <row r="620" spans="1:12">
      <c r="A620" s="19">
        <v>620</v>
      </c>
      <c r="B620" s="19"/>
      <c r="C620" s="19"/>
      <c r="D620" s="19"/>
      <c r="E620" s="17" t="s">
        <v>2661</v>
      </c>
      <c r="F620" s="17" t="s">
        <v>2056</v>
      </c>
      <c r="G620" s="17" t="s">
        <v>394</v>
      </c>
      <c r="H620" s="18">
        <v>24719.19</v>
      </c>
      <c r="I620" s="18">
        <v>7.07139999328</v>
      </c>
      <c r="J620" s="18">
        <v>174799.28</v>
      </c>
      <c r="K620" s="17" t="s">
        <v>2442</v>
      </c>
      <c r="L620" s="23" t="s">
        <v>2662</v>
      </c>
    </row>
    <row r="621" spans="1:12">
      <c r="A621" s="19">
        <v>621</v>
      </c>
      <c r="B621" s="19"/>
      <c r="C621" s="19"/>
      <c r="D621" s="19"/>
      <c r="E621" s="17" t="s">
        <v>2661</v>
      </c>
      <c r="F621" s="17" t="s">
        <v>2078</v>
      </c>
      <c r="G621" s="17" t="s">
        <v>394</v>
      </c>
      <c r="H621" s="18">
        <v>17317.14</v>
      </c>
      <c r="I621" s="18">
        <v>7.0713997807900002</v>
      </c>
      <c r="J621" s="18">
        <v>122456.42</v>
      </c>
      <c r="K621" s="16" t="s">
        <v>2039</v>
      </c>
      <c r="L621" s="23" t="s">
        <v>2663</v>
      </c>
    </row>
    <row r="622" spans="1:12">
      <c r="A622" s="19">
        <v>622</v>
      </c>
      <c r="B622" s="19"/>
      <c r="C622" s="19"/>
      <c r="D622" s="19"/>
      <c r="E622" s="17" t="s">
        <v>2661</v>
      </c>
      <c r="F622" s="17" t="s">
        <v>2476</v>
      </c>
      <c r="G622" s="17" t="s">
        <v>394</v>
      </c>
      <c r="H622" s="18">
        <v>34762.74</v>
      </c>
      <c r="I622" s="18">
        <v>7.0714000104699997</v>
      </c>
      <c r="J622" s="18">
        <v>245821.24</v>
      </c>
      <c r="K622" s="17" t="s">
        <v>2442</v>
      </c>
      <c r="L622" s="23" t="s">
        <v>2664</v>
      </c>
    </row>
    <row r="623" spans="1:12">
      <c r="A623" s="19">
        <v>623</v>
      </c>
      <c r="B623" s="29"/>
      <c r="C623" s="29"/>
      <c r="D623" s="29"/>
      <c r="E623" s="30" t="s">
        <v>2154</v>
      </c>
      <c r="F623" s="30" t="s">
        <v>2038</v>
      </c>
      <c r="G623" s="17" t="s">
        <v>394</v>
      </c>
      <c r="H623" s="29"/>
      <c r="I623" s="31"/>
      <c r="J623" s="32">
        <v>281510</v>
      </c>
      <c r="K623" s="30" t="s">
        <v>2440</v>
      </c>
      <c r="L623" s="33" t="s">
        <v>2665</v>
      </c>
    </row>
    <row r="624" spans="1:12">
      <c r="A624" s="19">
        <v>624</v>
      </c>
      <c r="B624" s="29"/>
      <c r="C624" s="29"/>
      <c r="D624" s="29"/>
      <c r="E624" s="30" t="s">
        <v>1520</v>
      </c>
      <c r="F624" s="30" t="s">
        <v>2038</v>
      </c>
      <c r="G624" s="17" t="s">
        <v>394</v>
      </c>
      <c r="H624" s="29"/>
      <c r="I624" s="31"/>
      <c r="J624" s="32">
        <v>286340.26</v>
      </c>
      <c r="K624" s="30" t="s">
        <v>2440</v>
      </c>
      <c r="L624" s="33" t="s">
        <v>2665</v>
      </c>
    </row>
    <row r="625" spans="1:12">
      <c r="A625" s="19">
        <v>625</v>
      </c>
      <c r="B625" s="29"/>
      <c r="C625" s="29"/>
      <c r="D625" s="29"/>
      <c r="E625" s="30" t="s">
        <v>1520</v>
      </c>
      <c r="F625" s="30" t="s">
        <v>2038</v>
      </c>
      <c r="G625" s="17" t="s">
        <v>394</v>
      </c>
      <c r="H625" s="29"/>
      <c r="I625" s="31"/>
      <c r="J625" s="32">
        <v>311901.31</v>
      </c>
      <c r="K625" s="30" t="s">
        <v>2440</v>
      </c>
      <c r="L625" s="33" t="s">
        <v>2665</v>
      </c>
    </row>
    <row r="626" spans="1:12">
      <c r="A626" s="19">
        <v>626</v>
      </c>
      <c r="B626" s="29"/>
      <c r="C626" s="29"/>
      <c r="D626" s="29"/>
      <c r="E626" s="30" t="s">
        <v>1466</v>
      </c>
      <c r="F626" s="30" t="s">
        <v>2279</v>
      </c>
      <c r="G626" s="17" t="s">
        <v>756</v>
      </c>
      <c r="H626" s="29"/>
      <c r="I626" s="31"/>
      <c r="J626" s="32">
        <v>43205.72</v>
      </c>
      <c r="K626" s="30" t="s">
        <v>2440</v>
      </c>
      <c r="L626" s="33" t="s">
        <v>2666</v>
      </c>
    </row>
    <row r="627" spans="1:12">
      <c r="A627" s="19">
        <v>627</v>
      </c>
      <c r="B627" s="29"/>
      <c r="C627" s="29"/>
      <c r="D627" s="29"/>
      <c r="E627" s="30" t="s">
        <v>795</v>
      </c>
      <c r="F627" s="30" t="s">
        <v>2279</v>
      </c>
      <c r="G627" s="17" t="s">
        <v>756</v>
      </c>
      <c r="H627" s="29"/>
      <c r="I627" s="31"/>
      <c r="J627" s="32">
        <v>43630</v>
      </c>
      <c r="K627" s="30" t="s">
        <v>2440</v>
      </c>
      <c r="L627" s="33" t="s">
        <v>2667</v>
      </c>
    </row>
    <row r="628" spans="1:12">
      <c r="A628" s="19">
        <v>628</v>
      </c>
      <c r="B628" s="29"/>
      <c r="C628" s="29"/>
      <c r="D628" s="29"/>
      <c r="E628" s="30" t="s">
        <v>936</v>
      </c>
      <c r="F628" s="30" t="s">
        <v>2038</v>
      </c>
      <c r="G628" s="17" t="s">
        <v>394</v>
      </c>
      <c r="H628" s="29"/>
      <c r="I628" s="31"/>
      <c r="J628" s="32">
        <v>359540</v>
      </c>
      <c r="K628" s="30" t="s">
        <v>2440</v>
      </c>
      <c r="L628" s="33" t="s">
        <v>2668</v>
      </c>
    </row>
    <row r="629" spans="1:12">
      <c r="A629" s="19">
        <v>629</v>
      </c>
      <c r="B629" s="29"/>
      <c r="C629" s="29"/>
      <c r="D629" s="29"/>
      <c r="E629" s="30" t="s">
        <v>914</v>
      </c>
      <c r="F629" s="30" t="s">
        <v>2038</v>
      </c>
      <c r="G629" s="17" t="s">
        <v>394</v>
      </c>
      <c r="H629" s="29"/>
      <c r="I629" s="31"/>
      <c r="J629" s="32">
        <v>197734.19</v>
      </c>
      <c r="K629" s="30" t="s">
        <v>2440</v>
      </c>
      <c r="L629" s="33" t="s">
        <v>2668</v>
      </c>
    </row>
    <row r="630" spans="1:12">
      <c r="A630" s="19">
        <v>630</v>
      </c>
      <c r="B630" s="29"/>
      <c r="C630" s="29"/>
      <c r="D630" s="29"/>
      <c r="E630" s="30" t="s">
        <v>2669</v>
      </c>
      <c r="F630" s="30" t="s">
        <v>2038</v>
      </c>
      <c r="G630" s="17" t="s">
        <v>394</v>
      </c>
      <c r="H630" s="29"/>
      <c r="I630" s="31"/>
      <c r="J630" s="32">
        <v>125990</v>
      </c>
      <c r="K630" s="30" t="s">
        <v>2440</v>
      </c>
      <c r="L630" s="33" t="s">
        <v>2670</v>
      </c>
    </row>
    <row r="631" spans="1:12">
      <c r="A631" s="19">
        <v>631</v>
      </c>
      <c r="B631" s="29"/>
      <c r="C631" s="29"/>
      <c r="D631" s="29"/>
      <c r="E631" s="30" t="s">
        <v>2353</v>
      </c>
      <c r="F631" s="30" t="s">
        <v>2038</v>
      </c>
      <c r="G631" s="17" t="s">
        <v>394</v>
      </c>
      <c r="H631" s="29"/>
      <c r="I631" s="31"/>
      <c r="J631" s="32">
        <v>191870</v>
      </c>
      <c r="K631" s="30" t="s">
        <v>2440</v>
      </c>
      <c r="L631" s="33" t="s">
        <v>2668</v>
      </c>
    </row>
    <row r="632" spans="1:12">
      <c r="A632" s="19">
        <v>632</v>
      </c>
      <c r="B632" s="29"/>
      <c r="C632" s="29"/>
      <c r="D632" s="29"/>
      <c r="E632" s="30" t="s">
        <v>2385</v>
      </c>
      <c r="F632" s="30" t="s">
        <v>2038</v>
      </c>
      <c r="G632" s="17" t="s">
        <v>394</v>
      </c>
      <c r="H632" s="29"/>
      <c r="I632" s="31"/>
      <c r="J632" s="32">
        <v>245890.43</v>
      </c>
      <c r="K632" s="30" t="s">
        <v>2440</v>
      </c>
      <c r="L632" s="33" t="s">
        <v>2670</v>
      </c>
    </row>
    <row r="633" spans="1:12">
      <c r="A633" s="19">
        <v>633</v>
      </c>
      <c r="B633" s="29"/>
      <c r="C633" s="29"/>
      <c r="D633" s="29"/>
      <c r="E633" s="30" t="s">
        <v>2385</v>
      </c>
      <c r="F633" s="30" t="s">
        <v>2038</v>
      </c>
      <c r="G633" s="17" t="s">
        <v>394</v>
      </c>
      <c r="H633" s="29"/>
      <c r="I633" s="31"/>
      <c r="J633" s="32">
        <v>202902.35</v>
      </c>
      <c r="K633" s="30" t="s">
        <v>2440</v>
      </c>
      <c r="L633" s="33" t="s">
        <v>2671</v>
      </c>
    </row>
    <row r="634" spans="1:12">
      <c r="A634" s="19">
        <v>634</v>
      </c>
      <c r="B634" s="29"/>
      <c r="C634" s="29"/>
      <c r="D634" s="29"/>
      <c r="E634" s="30" t="s">
        <v>2672</v>
      </c>
      <c r="F634" s="30" t="s">
        <v>2038</v>
      </c>
      <c r="G634" s="17" t="s">
        <v>394</v>
      </c>
      <c r="H634" s="29"/>
      <c r="I634" s="31"/>
      <c r="J634" s="32">
        <v>66951.48</v>
      </c>
      <c r="K634" s="30" t="s">
        <v>2440</v>
      </c>
      <c r="L634" s="33" t="s">
        <v>2670</v>
      </c>
    </row>
    <row r="635" spans="1:12">
      <c r="A635" s="19">
        <v>635</v>
      </c>
      <c r="B635" s="29"/>
      <c r="C635" s="29"/>
      <c r="D635" s="29"/>
      <c r="E635" s="30" t="s">
        <v>2672</v>
      </c>
      <c r="F635" s="30" t="s">
        <v>2038</v>
      </c>
      <c r="G635" s="17" t="s">
        <v>394</v>
      </c>
      <c r="H635" s="29"/>
      <c r="I635" s="31"/>
      <c r="J635" s="32">
        <v>157479.79999999999</v>
      </c>
      <c r="K635" s="30" t="s">
        <v>2440</v>
      </c>
      <c r="L635" s="33" t="s">
        <v>2670</v>
      </c>
    </row>
    <row r="636" spans="1:12">
      <c r="A636" s="19">
        <v>636</v>
      </c>
      <c r="B636" s="29"/>
      <c r="C636" s="29"/>
      <c r="D636" s="29"/>
      <c r="E636" s="30" t="s">
        <v>887</v>
      </c>
      <c r="F636" s="30" t="s">
        <v>2279</v>
      </c>
      <c r="G636" s="17" t="s">
        <v>756</v>
      </c>
      <c r="H636" s="29"/>
      <c r="I636" s="31"/>
      <c r="J636" s="32">
        <v>65490.94</v>
      </c>
      <c r="K636" s="30" t="s">
        <v>2440</v>
      </c>
      <c r="L636" s="23" t="s">
        <v>2673</v>
      </c>
    </row>
    <row r="637" spans="1:12">
      <c r="A637" s="19">
        <v>637</v>
      </c>
      <c r="B637" s="29"/>
      <c r="C637" s="29"/>
      <c r="D637" s="29"/>
      <c r="E637" s="30" t="s">
        <v>2456</v>
      </c>
      <c r="F637" s="30" t="s">
        <v>2038</v>
      </c>
      <c r="G637" s="17" t="s">
        <v>394</v>
      </c>
      <c r="H637" s="29"/>
      <c r="I637" s="31"/>
      <c r="J637" s="32">
        <v>334203.01</v>
      </c>
      <c r="K637" s="30" t="s">
        <v>2440</v>
      </c>
      <c r="L637" s="23" t="s">
        <v>2674</v>
      </c>
    </row>
    <row r="638" spans="1:12">
      <c r="A638" s="19">
        <v>638</v>
      </c>
      <c r="B638" s="29"/>
      <c r="C638" s="29"/>
      <c r="D638" s="29"/>
      <c r="E638" s="30" t="s">
        <v>2471</v>
      </c>
      <c r="F638" s="30" t="s">
        <v>2038</v>
      </c>
      <c r="G638" s="17" t="s">
        <v>394</v>
      </c>
      <c r="H638" s="29"/>
      <c r="I638" s="31"/>
      <c r="J638" s="32">
        <v>156500</v>
      </c>
      <c r="K638" s="30" t="s">
        <v>2440</v>
      </c>
      <c r="L638" s="23" t="s">
        <v>2674</v>
      </c>
    </row>
    <row r="639" spans="1:12">
      <c r="A639" s="19">
        <v>639</v>
      </c>
      <c r="B639" s="29"/>
      <c r="C639" s="29"/>
      <c r="D639" s="29"/>
      <c r="E639" s="30" t="s">
        <v>2675</v>
      </c>
      <c r="F639" s="30" t="s">
        <v>2038</v>
      </c>
      <c r="G639" s="17" t="s">
        <v>394</v>
      </c>
      <c r="H639" s="29"/>
      <c r="I639" s="31"/>
      <c r="J639" s="32">
        <v>66555.92</v>
      </c>
      <c r="K639" s="30" t="s">
        <v>2440</v>
      </c>
      <c r="L639" s="23" t="s">
        <v>2670</v>
      </c>
    </row>
    <row r="640" spans="1:12">
      <c r="A640" s="19">
        <v>640</v>
      </c>
      <c r="B640" s="29"/>
      <c r="C640" s="29"/>
      <c r="D640" s="29"/>
      <c r="E640" s="30" t="s">
        <v>2675</v>
      </c>
      <c r="F640" s="30" t="s">
        <v>2038</v>
      </c>
      <c r="G640" s="17" t="s">
        <v>394</v>
      </c>
      <c r="H640" s="29"/>
      <c r="I640" s="31"/>
      <c r="J640" s="32">
        <v>65564.12</v>
      </c>
      <c r="K640" s="30" t="s">
        <v>2440</v>
      </c>
      <c r="L640" s="23" t="s">
        <v>2676</v>
      </c>
    </row>
    <row r="641" spans="1:12">
      <c r="A641" s="19">
        <v>641</v>
      </c>
      <c r="B641" s="29"/>
      <c r="C641" s="29"/>
      <c r="D641" s="29"/>
      <c r="E641" s="30" t="s">
        <v>2675</v>
      </c>
      <c r="F641" s="30" t="s">
        <v>2038</v>
      </c>
      <c r="G641" s="17" t="s">
        <v>394</v>
      </c>
      <c r="H641" s="29"/>
      <c r="I641" s="31"/>
      <c r="J641" s="32">
        <v>69226.16</v>
      </c>
      <c r="K641" s="30" t="s">
        <v>2440</v>
      </c>
      <c r="L641" s="23" t="s">
        <v>2674</v>
      </c>
    </row>
    <row r="642" spans="1:12">
      <c r="A642" s="19">
        <v>642</v>
      </c>
      <c r="B642" s="29"/>
      <c r="C642" s="29"/>
      <c r="D642" s="29"/>
      <c r="E642" s="30" t="s">
        <v>2675</v>
      </c>
      <c r="F642" s="30" t="s">
        <v>2038</v>
      </c>
      <c r="G642" s="17" t="s">
        <v>394</v>
      </c>
      <c r="H642" s="29"/>
      <c r="I642" s="31"/>
      <c r="J642" s="32">
        <v>65573.399999999994</v>
      </c>
      <c r="K642" s="30" t="s">
        <v>2440</v>
      </c>
      <c r="L642" s="23" t="s">
        <v>2676</v>
      </c>
    </row>
    <row r="643" spans="1:12">
      <c r="A643" s="19">
        <v>643</v>
      </c>
      <c r="B643" s="29"/>
      <c r="C643" s="29"/>
      <c r="D643" s="29"/>
      <c r="E643" s="30" t="s">
        <v>2536</v>
      </c>
      <c r="F643" s="30" t="s">
        <v>2038</v>
      </c>
      <c r="G643" s="17" t="s">
        <v>394</v>
      </c>
      <c r="H643" s="29"/>
      <c r="I643" s="31"/>
      <c r="J643" s="32">
        <v>70100</v>
      </c>
      <c r="K643" s="30" t="s">
        <v>2440</v>
      </c>
      <c r="L643" s="23" t="s">
        <v>2677</v>
      </c>
    </row>
    <row r="644" spans="1:12">
      <c r="A644" s="19">
        <v>644</v>
      </c>
      <c r="B644" s="29"/>
      <c r="C644" s="29"/>
      <c r="D644" s="29"/>
      <c r="E644" s="30" t="s">
        <v>2678</v>
      </c>
      <c r="F644" s="30" t="s">
        <v>2038</v>
      </c>
      <c r="G644" s="17" t="s">
        <v>394</v>
      </c>
      <c r="H644" s="29"/>
      <c r="I644" s="31"/>
      <c r="J644" s="32">
        <v>78858.880000000005</v>
      </c>
      <c r="K644" s="30" t="s">
        <v>2440</v>
      </c>
      <c r="L644" s="23" t="s">
        <v>2668</v>
      </c>
    </row>
    <row r="645" spans="1:12">
      <c r="A645" s="19">
        <v>645</v>
      </c>
      <c r="B645" s="29"/>
      <c r="C645" s="29"/>
      <c r="D645" s="29"/>
      <c r="E645" s="30" t="s">
        <v>2678</v>
      </c>
      <c r="F645" s="30" t="s">
        <v>2038</v>
      </c>
      <c r="G645" s="17" t="s">
        <v>394</v>
      </c>
      <c r="H645" s="29"/>
      <c r="I645" s="31"/>
      <c r="J645" s="32">
        <v>229078.53</v>
      </c>
      <c r="K645" s="30" t="s">
        <v>2440</v>
      </c>
      <c r="L645" s="23" t="s">
        <v>2677</v>
      </c>
    </row>
    <row r="646" spans="1:12">
      <c r="A646" s="19">
        <v>646</v>
      </c>
      <c r="B646" s="29"/>
      <c r="C646" s="29"/>
      <c r="D646" s="29"/>
      <c r="E646" s="30" t="s">
        <v>2544</v>
      </c>
      <c r="F646" s="30" t="s">
        <v>2279</v>
      </c>
      <c r="G646" s="17" t="s">
        <v>756</v>
      </c>
      <c r="H646" s="29"/>
      <c r="I646" s="31"/>
      <c r="J646" s="32">
        <v>83192.36</v>
      </c>
      <c r="K646" s="30" t="s">
        <v>2440</v>
      </c>
      <c r="L646" s="23" t="s">
        <v>2679</v>
      </c>
    </row>
    <row r="647" spans="1:12">
      <c r="A647" s="19">
        <v>647</v>
      </c>
      <c r="B647" s="29"/>
      <c r="C647" s="29"/>
      <c r="D647" s="29"/>
      <c r="E647" s="30" t="s">
        <v>2557</v>
      </c>
      <c r="F647" s="30" t="s">
        <v>2038</v>
      </c>
      <c r="G647" s="17" t="s">
        <v>394</v>
      </c>
      <c r="H647" s="29"/>
      <c r="I647" s="31"/>
      <c r="J647" s="32">
        <v>153591.20000000001</v>
      </c>
      <c r="K647" s="30" t="s">
        <v>2440</v>
      </c>
      <c r="L647" s="23" t="s">
        <v>2668</v>
      </c>
    </row>
    <row r="648" spans="1:12">
      <c r="A648" s="19">
        <v>648</v>
      </c>
      <c r="B648" s="29"/>
      <c r="C648" s="29"/>
      <c r="D648" s="29"/>
      <c r="E648" s="30" t="s">
        <v>2557</v>
      </c>
      <c r="F648" s="30" t="s">
        <v>2038</v>
      </c>
      <c r="G648" s="17" t="s">
        <v>394</v>
      </c>
      <c r="H648" s="29"/>
      <c r="I648" s="31"/>
      <c r="J648" s="32">
        <v>65049.23</v>
      </c>
      <c r="K648" s="30" t="s">
        <v>2440</v>
      </c>
      <c r="L648" s="23" t="s">
        <v>2677</v>
      </c>
    </row>
    <row r="649" spans="1:12">
      <c r="A649" s="19">
        <v>649</v>
      </c>
      <c r="B649" s="29"/>
      <c r="C649" s="29"/>
      <c r="D649" s="29"/>
      <c r="E649" s="30" t="s">
        <v>2680</v>
      </c>
      <c r="F649" s="30" t="s">
        <v>2038</v>
      </c>
      <c r="G649" s="17" t="s">
        <v>394</v>
      </c>
      <c r="H649" s="29"/>
      <c r="I649" s="31"/>
      <c r="J649" s="32">
        <v>160280</v>
      </c>
      <c r="K649" s="30" t="s">
        <v>2440</v>
      </c>
      <c r="L649" s="23" t="s">
        <v>2681</v>
      </c>
    </row>
    <row r="650" spans="1:12">
      <c r="A650" s="19">
        <v>650</v>
      </c>
      <c r="B650" s="29"/>
      <c r="C650" s="29"/>
      <c r="D650" s="29"/>
      <c r="E650" s="30" t="s">
        <v>2599</v>
      </c>
      <c r="F650" s="30" t="s">
        <v>2038</v>
      </c>
      <c r="G650" s="17" t="s">
        <v>394</v>
      </c>
      <c r="H650" s="29"/>
      <c r="I650" s="31"/>
      <c r="J650" s="32">
        <v>391215.32</v>
      </c>
      <c r="K650" s="30" t="s">
        <v>2440</v>
      </c>
      <c r="L650" s="23" t="s">
        <v>2681</v>
      </c>
    </row>
    <row r="651" spans="1:12">
      <c r="A651" s="19">
        <v>651</v>
      </c>
      <c r="B651" s="29"/>
      <c r="C651" s="29"/>
      <c r="D651" s="29"/>
      <c r="E651" s="30" t="s">
        <v>2631</v>
      </c>
      <c r="F651" s="30" t="s">
        <v>2038</v>
      </c>
      <c r="G651" s="17" t="s">
        <v>394</v>
      </c>
      <c r="H651" s="29"/>
      <c r="I651" s="31"/>
      <c r="J651" s="32">
        <v>499670</v>
      </c>
      <c r="K651" s="30" t="s">
        <v>2440</v>
      </c>
      <c r="L651" s="23" t="s">
        <v>2682</v>
      </c>
    </row>
    <row r="652" spans="1:12">
      <c r="A652" s="19">
        <v>652</v>
      </c>
      <c r="B652" s="29"/>
      <c r="C652" s="29"/>
      <c r="D652" s="29"/>
      <c r="E652" s="30" t="s">
        <v>2641</v>
      </c>
      <c r="F652" s="30" t="s">
        <v>2279</v>
      </c>
      <c r="G652" s="17" t="s">
        <v>756</v>
      </c>
      <c r="H652" s="29"/>
      <c r="I652" s="31"/>
      <c r="J652" s="32">
        <v>83696.92</v>
      </c>
      <c r="K652" s="30" t="s">
        <v>2440</v>
      </c>
      <c r="L652" s="23" t="s">
        <v>2683</v>
      </c>
    </row>
    <row r="653" spans="1:12">
      <c r="A653" s="19"/>
      <c r="B653" s="29"/>
      <c r="C653" s="29"/>
      <c r="D653" s="29"/>
      <c r="E653" s="30"/>
      <c r="F653" s="30"/>
      <c r="G653" s="17"/>
      <c r="H653" s="29"/>
      <c r="I653" s="31"/>
      <c r="J653" s="32"/>
      <c r="K653" s="30"/>
      <c r="L653" s="23"/>
    </row>
    <row r="654" spans="1:12">
      <c r="A654" s="34"/>
      <c r="B654" s="29"/>
      <c r="C654" s="29"/>
      <c r="D654" s="29"/>
      <c r="E654" s="30" t="s">
        <v>2684</v>
      </c>
      <c r="F654" s="29"/>
      <c r="G654" s="29"/>
      <c r="H654" s="32">
        <f>SUM(H2:H652)</f>
        <v>30928134.77</v>
      </c>
      <c r="I654" s="32"/>
      <c r="J654" s="32">
        <f>SUM(J2:J652)</f>
        <v>222610920.43000001</v>
      </c>
      <c r="K654" s="29"/>
      <c r="L654" s="35"/>
    </row>
    <row r="655" spans="1:12">
      <c r="A655" s="28"/>
      <c r="H655" s="3">
        <f>H654*7</f>
        <v>216496943.38999999</v>
      </c>
    </row>
  </sheetData>
  <phoneticPr fontId="92" type="noConversion"/>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filterMode="1"/>
  <dimension ref="A1:L129"/>
  <sheetViews>
    <sheetView topLeftCell="A97" workbookViewId="0">
      <selection activeCell="E19" sqref="E19"/>
    </sheetView>
  </sheetViews>
  <sheetFormatPr defaultColWidth="9" defaultRowHeight="13.5"/>
  <cols>
    <col min="1" max="1" width="6.625" style="2" customWidth="1"/>
    <col min="2" max="2" width="24.5" style="4" customWidth="1"/>
    <col min="3" max="3" width="17" style="4" customWidth="1"/>
    <col min="4" max="4" width="11.375" style="4" customWidth="1"/>
    <col min="5" max="5" width="33.625" style="5" customWidth="1"/>
    <col min="6" max="6" width="7.25" style="4" customWidth="1"/>
    <col min="7" max="7" width="7.125" style="4" customWidth="1"/>
    <col min="8" max="8" width="9.125" style="4" customWidth="1"/>
    <col min="9" max="9" width="11.25" style="4" customWidth="1"/>
    <col min="10" max="10" width="13.625" style="4" customWidth="1"/>
    <col min="11" max="11" width="11.375" style="4" customWidth="1"/>
    <col min="12" max="12" width="22" style="5" customWidth="1"/>
    <col min="13" max="16384" width="9" style="2"/>
  </cols>
  <sheetData>
    <row r="1" spans="1:12" s="1" customFormat="1" ht="36.6" customHeight="1">
      <c r="B1" s="1015" t="s">
        <v>2685</v>
      </c>
      <c r="C1" s="1015"/>
      <c r="D1" s="1015"/>
      <c r="E1" s="1015"/>
      <c r="F1" s="1015"/>
      <c r="G1" s="1015"/>
      <c r="H1" s="1015"/>
      <c r="I1" s="1015"/>
      <c r="J1" s="1015"/>
      <c r="K1" s="1015"/>
      <c r="L1" s="1015"/>
    </row>
    <row r="2" spans="1:12" ht="37.5" customHeight="1">
      <c r="A2" s="6" t="s">
        <v>180</v>
      </c>
      <c r="B2" s="6" t="s">
        <v>770</v>
      </c>
      <c r="C2" s="6" t="s">
        <v>771</v>
      </c>
      <c r="D2" s="6" t="s">
        <v>772</v>
      </c>
      <c r="E2" s="6" t="s">
        <v>775</v>
      </c>
      <c r="F2" s="6" t="s">
        <v>2686</v>
      </c>
      <c r="G2" s="6" t="s">
        <v>2687</v>
      </c>
      <c r="H2" s="6" t="s">
        <v>778</v>
      </c>
      <c r="I2" s="6" t="s">
        <v>2688</v>
      </c>
      <c r="J2" s="6" t="s">
        <v>2689</v>
      </c>
      <c r="K2" s="6" t="s">
        <v>2690</v>
      </c>
      <c r="L2" s="6" t="s">
        <v>2691</v>
      </c>
    </row>
    <row r="3" spans="1:12" ht="15.75">
      <c r="A3" s="7">
        <v>1</v>
      </c>
      <c r="B3" s="8" t="s">
        <v>2692</v>
      </c>
      <c r="C3" s="8" t="s">
        <v>2693</v>
      </c>
      <c r="D3" s="8" t="s">
        <v>2694</v>
      </c>
      <c r="E3" s="9" t="s">
        <v>2695</v>
      </c>
      <c r="F3" s="8" t="s">
        <v>2696</v>
      </c>
      <c r="G3" s="8" t="s">
        <v>786</v>
      </c>
      <c r="H3" s="8" t="s">
        <v>296</v>
      </c>
      <c r="I3" s="742">
        <v>18</v>
      </c>
      <c r="J3" s="8" t="s">
        <v>2697</v>
      </c>
      <c r="K3" s="11" t="s">
        <v>2698</v>
      </c>
      <c r="L3" s="9" t="s">
        <v>2699</v>
      </c>
    </row>
    <row r="4" spans="1:12" ht="28.5">
      <c r="A4" s="7">
        <v>2</v>
      </c>
      <c r="B4" s="8" t="s">
        <v>2700</v>
      </c>
      <c r="C4" s="8" t="s">
        <v>2701</v>
      </c>
      <c r="D4" s="8" t="s">
        <v>2694</v>
      </c>
      <c r="E4" s="9" t="s">
        <v>2702</v>
      </c>
      <c r="F4" s="8" t="s">
        <v>2696</v>
      </c>
      <c r="G4" s="8" t="s">
        <v>831</v>
      </c>
      <c r="H4" s="8" t="s">
        <v>296</v>
      </c>
      <c r="I4" s="742">
        <v>31049</v>
      </c>
      <c r="J4" s="8" t="s">
        <v>2697</v>
      </c>
      <c r="K4" s="11" t="s">
        <v>2703</v>
      </c>
      <c r="L4" s="9" t="s">
        <v>2699</v>
      </c>
    </row>
    <row r="5" spans="1:12" ht="28.5" hidden="1">
      <c r="A5" s="7">
        <v>3</v>
      </c>
      <c r="B5" s="8" t="s">
        <v>2704</v>
      </c>
      <c r="C5" s="8" t="s">
        <v>2705</v>
      </c>
      <c r="D5" s="8" t="s">
        <v>2706</v>
      </c>
      <c r="E5" s="9" t="s">
        <v>2707</v>
      </c>
      <c r="F5" s="8" t="s">
        <v>2708</v>
      </c>
      <c r="G5" s="8" t="s">
        <v>786</v>
      </c>
      <c r="H5" s="8" t="s">
        <v>296</v>
      </c>
      <c r="I5" s="10">
        <v>980</v>
      </c>
      <c r="J5" s="8" t="s">
        <v>2697</v>
      </c>
      <c r="K5" s="11" t="s">
        <v>2709</v>
      </c>
      <c r="L5" s="9" t="s">
        <v>2710</v>
      </c>
    </row>
    <row r="6" spans="1:12" ht="15.75">
      <c r="A6" s="7">
        <v>4</v>
      </c>
      <c r="B6" s="8" t="s">
        <v>2711</v>
      </c>
      <c r="C6" s="8" t="s">
        <v>2712</v>
      </c>
      <c r="D6" s="8" t="s">
        <v>2706</v>
      </c>
      <c r="E6" s="9" t="s">
        <v>2695</v>
      </c>
      <c r="F6" s="8" t="s">
        <v>2696</v>
      </c>
      <c r="G6" s="8" t="s">
        <v>786</v>
      </c>
      <c r="H6" s="8" t="s">
        <v>296</v>
      </c>
      <c r="I6" s="742">
        <v>4190</v>
      </c>
      <c r="J6" s="8" t="s">
        <v>2697</v>
      </c>
      <c r="K6" s="11" t="s">
        <v>2713</v>
      </c>
      <c r="L6" s="9" t="s">
        <v>2699</v>
      </c>
    </row>
    <row r="7" spans="1:12" ht="28.5">
      <c r="A7" s="7">
        <v>5</v>
      </c>
      <c r="B7" s="8" t="s">
        <v>2714</v>
      </c>
      <c r="C7" s="8" t="s">
        <v>2715</v>
      </c>
      <c r="D7" s="8" t="s">
        <v>2706</v>
      </c>
      <c r="E7" s="9" t="s">
        <v>2716</v>
      </c>
      <c r="F7" s="8" t="s">
        <v>2717</v>
      </c>
      <c r="G7" s="8" t="s">
        <v>786</v>
      </c>
      <c r="H7" s="8" t="s">
        <v>311</v>
      </c>
      <c r="I7" s="742">
        <v>722820</v>
      </c>
      <c r="J7" s="8" t="s">
        <v>2697</v>
      </c>
      <c r="K7" s="11" t="s">
        <v>2718</v>
      </c>
      <c r="L7" s="9" t="s">
        <v>2719</v>
      </c>
    </row>
    <row r="8" spans="1:12" ht="28.5">
      <c r="A8" s="7">
        <v>6</v>
      </c>
      <c r="B8" s="8" t="s">
        <v>2720</v>
      </c>
      <c r="C8" s="8" t="s">
        <v>2721</v>
      </c>
      <c r="D8" s="8" t="s">
        <v>2722</v>
      </c>
      <c r="E8" s="9" t="s">
        <v>2723</v>
      </c>
      <c r="F8" s="8" t="s">
        <v>903</v>
      </c>
      <c r="G8" s="8" t="s">
        <v>786</v>
      </c>
      <c r="H8" s="8" t="s">
        <v>296</v>
      </c>
      <c r="I8" s="742">
        <v>432668</v>
      </c>
      <c r="J8" s="8" t="s">
        <v>2697</v>
      </c>
      <c r="K8" s="11" t="s">
        <v>2724</v>
      </c>
      <c r="L8" s="9" t="s">
        <v>2725</v>
      </c>
    </row>
    <row r="9" spans="1:12" ht="28.5">
      <c r="A9" s="7">
        <v>7</v>
      </c>
      <c r="B9" s="8" t="s">
        <v>2726</v>
      </c>
      <c r="C9" s="8" t="s">
        <v>2727</v>
      </c>
      <c r="D9" s="8" t="s">
        <v>2059</v>
      </c>
      <c r="E9" s="9" t="s">
        <v>2728</v>
      </c>
      <c r="F9" s="8" t="s">
        <v>2696</v>
      </c>
      <c r="G9" s="8" t="s">
        <v>831</v>
      </c>
      <c r="H9" s="8" t="s">
        <v>296</v>
      </c>
      <c r="I9" s="742">
        <v>90440</v>
      </c>
      <c r="J9" s="8" t="s">
        <v>2697</v>
      </c>
      <c r="K9" s="11" t="s">
        <v>2729</v>
      </c>
      <c r="L9" s="9" t="s">
        <v>2699</v>
      </c>
    </row>
    <row r="10" spans="1:12" ht="28.5">
      <c r="A10" s="7">
        <v>8</v>
      </c>
      <c r="B10" s="8" t="s">
        <v>2730</v>
      </c>
      <c r="C10" s="8" t="s">
        <v>2731</v>
      </c>
      <c r="D10" s="8" t="s">
        <v>1481</v>
      </c>
      <c r="E10" s="9" t="s">
        <v>2732</v>
      </c>
      <c r="F10" s="8" t="s">
        <v>903</v>
      </c>
      <c r="G10" s="8" t="s">
        <v>786</v>
      </c>
      <c r="H10" s="8" t="s">
        <v>296</v>
      </c>
      <c r="I10" s="742">
        <v>98089</v>
      </c>
      <c r="J10" s="8" t="s">
        <v>2697</v>
      </c>
      <c r="K10" s="11" t="s">
        <v>2733</v>
      </c>
      <c r="L10" s="9" t="s">
        <v>2725</v>
      </c>
    </row>
    <row r="11" spans="1:12" ht="28.5" hidden="1">
      <c r="A11" s="7">
        <v>9</v>
      </c>
      <c r="B11" s="8" t="s">
        <v>2734</v>
      </c>
      <c r="C11" s="8" t="s">
        <v>2735</v>
      </c>
      <c r="D11" s="8" t="s">
        <v>2736</v>
      </c>
      <c r="E11" s="9" t="s">
        <v>2737</v>
      </c>
      <c r="F11" s="8" t="s">
        <v>2738</v>
      </c>
      <c r="G11" s="8" t="s">
        <v>786</v>
      </c>
      <c r="H11" s="8" t="s">
        <v>296</v>
      </c>
      <c r="I11" s="10">
        <v>3760</v>
      </c>
      <c r="J11" s="8" t="s">
        <v>2697</v>
      </c>
      <c r="K11" s="11" t="s">
        <v>2739</v>
      </c>
      <c r="L11" s="9" t="s">
        <v>2740</v>
      </c>
    </row>
    <row r="12" spans="1:12" ht="28.5">
      <c r="A12" s="7">
        <v>10</v>
      </c>
      <c r="B12" s="8" t="s">
        <v>2741</v>
      </c>
      <c r="C12" s="8" t="s">
        <v>2742</v>
      </c>
      <c r="D12" s="8" t="s">
        <v>2736</v>
      </c>
      <c r="E12" s="9" t="s">
        <v>2716</v>
      </c>
      <c r="F12" s="8" t="s">
        <v>2717</v>
      </c>
      <c r="G12" s="8" t="s">
        <v>786</v>
      </c>
      <c r="H12" s="8" t="s">
        <v>311</v>
      </c>
      <c r="I12" s="742">
        <v>370629</v>
      </c>
      <c r="J12" s="8" t="s">
        <v>2697</v>
      </c>
      <c r="K12" s="11" t="s">
        <v>2743</v>
      </c>
      <c r="L12" s="9" t="s">
        <v>2719</v>
      </c>
    </row>
    <row r="13" spans="1:12" ht="28.5">
      <c r="A13" s="7">
        <v>11</v>
      </c>
      <c r="B13" s="8" t="s">
        <v>2744</v>
      </c>
      <c r="C13" s="8" t="s">
        <v>2745</v>
      </c>
      <c r="D13" s="8" t="s">
        <v>2746</v>
      </c>
      <c r="E13" s="9" t="s">
        <v>2702</v>
      </c>
      <c r="F13" s="8" t="s">
        <v>2696</v>
      </c>
      <c r="G13" s="8" t="s">
        <v>831</v>
      </c>
      <c r="H13" s="8" t="s">
        <v>296</v>
      </c>
      <c r="I13" s="742">
        <v>65610</v>
      </c>
      <c r="J13" s="8" t="s">
        <v>2697</v>
      </c>
      <c r="K13" s="11" t="s">
        <v>2747</v>
      </c>
      <c r="L13" s="9" t="s">
        <v>2699</v>
      </c>
    </row>
    <row r="14" spans="1:12" ht="28.5">
      <c r="A14" s="7">
        <v>12</v>
      </c>
      <c r="B14" s="8" t="s">
        <v>2748</v>
      </c>
      <c r="C14" s="8" t="s">
        <v>2749</v>
      </c>
      <c r="D14" s="8" t="s">
        <v>2746</v>
      </c>
      <c r="E14" s="9" t="s">
        <v>2702</v>
      </c>
      <c r="F14" s="8" t="s">
        <v>2696</v>
      </c>
      <c r="G14" s="8" t="s">
        <v>831</v>
      </c>
      <c r="H14" s="8" t="s">
        <v>296</v>
      </c>
      <c r="I14" s="742">
        <v>5847</v>
      </c>
      <c r="J14" s="8" t="s">
        <v>2697</v>
      </c>
      <c r="K14" s="11" t="s">
        <v>2750</v>
      </c>
      <c r="L14" s="9" t="s">
        <v>2699</v>
      </c>
    </row>
    <row r="15" spans="1:12" ht="28.5">
      <c r="A15" s="7">
        <v>13</v>
      </c>
      <c r="B15" s="8" t="s">
        <v>2751</v>
      </c>
      <c r="C15" s="8" t="s">
        <v>2752</v>
      </c>
      <c r="D15" s="8" t="s">
        <v>2746</v>
      </c>
      <c r="E15" s="9" t="s">
        <v>2702</v>
      </c>
      <c r="F15" s="8" t="s">
        <v>2696</v>
      </c>
      <c r="G15" s="8" t="s">
        <v>831</v>
      </c>
      <c r="H15" s="8" t="s">
        <v>296</v>
      </c>
      <c r="I15" s="742">
        <v>69800</v>
      </c>
      <c r="J15" s="8" t="s">
        <v>2697</v>
      </c>
      <c r="K15" s="11" t="s">
        <v>2753</v>
      </c>
      <c r="L15" s="9" t="s">
        <v>2699</v>
      </c>
    </row>
    <row r="16" spans="1:12" ht="28.5">
      <c r="A16" s="7">
        <v>14</v>
      </c>
      <c r="B16" s="8" t="s">
        <v>2754</v>
      </c>
      <c r="C16" s="8" t="s">
        <v>2755</v>
      </c>
      <c r="D16" s="8" t="s">
        <v>2144</v>
      </c>
      <c r="E16" s="9" t="s">
        <v>2702</v>
      </c>
      <c r="F16" s="8" t="s">
        <v>2696</v>
      </c>
      <c r="G16" s="8" t="s">
        <v>831</v>
      </c>
      <c r="H16" s="8" t="s">
        <v>296</v>
      </c>
      <c r="I16" s="742">
        <v>31918</v>
      </c>
      <c r="J16" s="8" t="s">
        <v>2697</v>
      </c>
      <c r="K16" s="11" t="s">
        <v>2756</v>
      </c>
      <c r="L16" s="9" t="s">
        <v>2699</v>
      </c>
    </row>
    <row r="17" spans="1:12" ht="28.5">
      <c r="A17" s="7">
        <v>15</v>
      </c>
      <c r="B17" s="8" t="s">
        <v>2757</v>
      </c>
      <c r="C17" s="8" t="s">
        <v>2758</v>
      </c>
      <c r="D17" s="8" t="s">
        <v>2144</v>
      </c>
      <c r="E17" s="9" t="s">
        <v>2702</v>
      </c>
      <c r="F17" s="8" t="s">
        <v>2696</v>
      </c>
      <c r="G17" s="8" t="s">
        <v>831</v>
      </c>
      <c r="H17" s="8" t="s">
        <v>296</v>
      </c>
      <c r="I17" s="742">
        <v>34690</v>
      </c>
      <c r="J17" s="8" t="s">
        <v>2697</v>
      </c>
      <c r="K17" s="11" t="s">
        <v>2759</v>
      </c>
      <c r="L17" s="9" t="s">
        <v>2699</v>
      </c>
    </row>
    <row r="18" spans="1:12" ht="28.5">
      <c r="A18" s="7">
        <v>16</v>
      </c>
      <c r="B18" s="8" t="s">
        <v>2760</v>
      </c>
      <c r="C18" s="8" t="s">
        <v>2761</v>
      </c>
      <c r="D18" s="8" t="s">
        <v>919</v>
      </c>
      <c r="E18" s="9" t="s">
        <v>2716</v>
      </c>
      <c r="F18" s="8" t="s">
        <v>2717</v>
      </c>
      <c r="G18" s="8" t="s">
        <v>786</v>
      </c>
      <c r="H18" s="8" t="s">
        <v>311</v>
      </c>
      <c r="I18" s="742">
        <v>207479</v>
      </c>
      <c r="J18" s="8" t="s">
        <v>2697</v>
      </c>
      <c r="K18" s="11" t="s">
        <v>2762</v>
      </c>
      <c r="L18" s="9" t="s">
        <v>2719</v>
      </c>
    </row>
    <row r="19" spans="1:12" ht="28.5" hidden="1">
      <c r="A19" s="7">
        <v>17</v>
      </c>
      <c r="B19" s="8" t="s">
        <v>2763</v>
      </c>
      <c r="C19" s="8" t="s">
        <v>2764</v>
      </c>
      <c r="D19" s="8" t="s">
        <v>2765</v>
      </c>
      <c r="E19" s="9" t="s">
        <v>2766</v>
      </c>
      <c r="F19" s="8" t="s">
        <v>2767</v>
      </c>
      <c r="G19" s="8" t="s">
        <v>786</v>
      </c>
      <c r="H19" s="8" t="s">
        <v>311</v>
      </c>
      <c r="I19" s="10">
        <v>17456</v>
      </c>
      <c r="J19" s="8" t="s">
        <v>2697</v>
      </c>
      <c r="K19" s="11" t="s">
        <v>2768</v>
      </c>
      <c r="L19" s="9" t="s">
        <v>2769</v>
      </c>
    </row>
    <row r="20" spans="1:12" ht="28.5">
      <c r="A20" s="7">
        <v>18</v>
      </c>
      <c r="B20" s="8" t="s">
        <v>2770</v>
      </c>
      <c r="C20" s="8" t="s">
        <v>2771</v>
      </c>
      <c r="D20" s="8" t="s">
        <v>919</v>
      </c>
      <c r="E20" s="9" t="s">
        <v>2716</v>
      </c>
      <c r="F20" s="8" t="s">
        <v>2717</v>
      </c>
      <c r="G20" s="8" t="s">
        <v>786</v>
      </c>
      <c r="H20" s="8" t="s">
        <v>311</v>
      </c>
      <c r="I20" s="742">
        <v>1999890</v>
      </c>
      <c r="J20" s="8" t="s">
        <v>2697</v>
      </c>
      <c r="K20" s="11" t="s">
        <v>2772</v>
      </c>
      <c r="L20" s="9" t="s">
        <v>2719</v>
      </c>
    </row>
    <row r="21" spans="1:12" ht="15.75">
      <c r="A21" s="7">
        <v>19</v>
      </c>
      <c r="B21" s="8" t="s">
        <v>2773</v>
      </c>
      <c r="C21" s="8" t="s">
        <v>2774</v>
      </c>
      <c r="D21" s="8" t="s">
        <v>2775</v>
      </c>
      <c r="E21" s="9" t="s">
        <v>2695</v>
      </c>
      <c r="F21" s="8" t="s">
        <v>2696</v>
      </c>
      <c r="G21" s="8" t="s">
        <v>786</v>
      </c>
      <c r="H21" s="8" t="s">
        <v>296</v>
      </c>
      <c r="I21" s="742">
        <v>256</v>
      </c>
      <c r="J21" s="8" t="s">
        <v>2697</v>
      </c>
      <c r="K21" s="11" t="s">
        <v>2776</v>
      </c>
      <c r="L21" s="9" t="s">
        <v>2699</v>
      </c>
    </row>
    <row r="22" spans="1:12" ht="15.75" hidden="1">
      <c r="A22" s="7">
        <v>20</v>
      </c>
      <c r="B22" s="8" t="s">
        <v>2777</v>
      </c>
      <c r="C22" s="8" t="s">
        <v>2778</v>
      </c>
      <c r="D22" s="8" t="s">
        <v>2779</v>
      </c>
      <c r="E22" s="9" t="s">
        <v>2780</v>
      </c>
      <c r="F22" s="8" t="s">
        <v>2781</v>
      </c>
      <c r="G22" s="8" t="s">
        <v>786</v>
      </c>
      <c r="H22" s="8" t="s">
        <v>296</v>
      </c>
      <c r="I22" s="10">
        <v>6780</v>
      </c>
      <c r="J22" s="8" t="s">
        <v>2697</v>
      </c>
      <c r="K22" s="11" t="s">
        <v>2782</v>
      </c>
      <c r="L22" s="9" t="s">
        <v>2783</v>
      </c>
    </row>
    <row r="23" spans="1:12" ht="28.5" hidden="1">
      <c r="A23" s="7">
        <v>21</v>
      </c>
      <c r="B23" s="8" t="s">
        <v>2784</v>
      </c>
      <c r="C23" s="8" t="s">
        <v>2785</v>
      </c>
      <c r="D23" s="8" t="s">
        <v>2124</v>
      </c>
      <c r="E23" s="9" t="s">
        <v>2786</v>
      </c>
      <c r="F23" s="8" t="s">
        <v>2787</v>
      </c>
      <c r="G23" s="8" t="s">
        <v>786</v>
      </c>
      <c r="H23" s="8" t="s">
        <v>296</v>
      </c>
      <c r="I23" s="10">
        <v>3985</v>
      </c>
      <c r="J23" s="8" t="s">
        <v>2697</v>
      </c>
      <c r="K23" s="11" t="s">
        <v>2788</v>
      </c>
      <c r="L23" s="9" t="s">
        <v>2789</v>
      </c>
    </row>
    <row r="24" spans="1:12" ht="28.5">
      <c r="A24" s="7">
        <v>22</v>
      </c>
      <c r="B24" s="8" t="s">
        <v>2790</v>
      </c>
      <c r="C24" s="8" t="s">
        <v>2791</v>
      </c>
      <c r="D24" s="8" t="s">
        <v>1520</v>
      </c>
      <c r="E24" s="9" t="s">
        <v>2702</v>
      </c>
      <c r="F24" s="8" t="s">
        <v>2696</v>
      </c>
      <c r="G24" s="8" t="s">
        <v>831</v>
      </c>
      <c r="H24" s="8" t="s">
        <v>296</v>
      </c>
      <c r="I24" s="742">
        <v>253</v>
      </c>
      <c r="J24" s="8" t="s">
        <v>2697</v>
      </c>
      <c r="K24" s="11" t="s">
        <v>2792</v>
      </c>
      <c r="L24" s="9" t="s">
        <v>2699</v>
      </c>
    </row>
    <row r="25" spans="1:12" ht="28.5">
      <c r="A25" s="7">
        <v>23</v>
      </c>
      <c r="B25" s="8" t="s">
        <v>2793</v>
      </c>
      <c r="C25" s="8" t="s">
        <v>2794</v>
      </c>
      <c r="D25" s="8" t="s">
        <v>1520</v>
      </c>
      <c r="E25" s="9" t="s">
        <v>2702</v>
      </c>
      <c r="F25" s="8" t="s">
        <v>2696</v>
      </c>
      <c r="G25" s="8" t="s">
        <v>831</v>
      </c>
      <c r="H25" s="8" t="s">
        <v>296</v>
      </c>
      <c r="I25" s="742">
        <v>71955</v>
      </c>
      <c r="J25" s="8" t="s">
        <v>2697</v>
      </c>
      <c r="K25" s="11" t="s">
        <v>2795</v>
      </c>
      <c r="L25" s="9" t="s">
        <v>2699</v>
      </c>
    </row>
    <row r="26" spans="1:12" ht="28.5">
      <c r="A26" s="7">
        <v>24</v>
      </c>
      <c r="B26" s="8" t="s">
        <v>2796</v>
      </c>
      <c r="C26" s="8" t="s">
        <v>2797</v>
      </c>
      <c r="D26" s="8" t="s">
        <v>2798</v>
      </c>
      <c r="E26" s="9" t="s">
        <v>2702</v>
      </c>
      <c r="F26" s="8" t="s">
        <v>2696</v>
      </c>
      <c r="G26" s="8" t="s">
        <v>831</v>
      </c>
      <c r="H26" s="8" t="s">
        <v>296</v>
      </c>
      <c r="I26" s="742">
        <v>3239</v>
      </c>
      <c r="J26" s="8" t="s">
        <v>2697</v>
      </c>
      <c r="K26" s="11" t="s">
        <v>2799</v>
      </c>
      <c r="L26" s="9" t="s">
        <v>2699</v>
      </c>
    </row>
    <row r="27" spans="1:12" ht="28.5">
      <c r="A27" s="7">
        <v>25</v>
      </c>
      <c r="B27" s="8" t="s">
        <v>2800</v>
      </c>
      <c r="C27" s="8" t="s">
        <v>2801</v>
      </c>
      <c r="D27" s="8" t="s">
        <v>2798</v>
      </c>
      <c r="E27" s="9" t="s">
        <v>2702</v>
      </c>
      <c r="F27" s="8" t="s">
        <v>2696</v>
      </c>
      <c r="G27" s="8" t="s">
        <v>831</v>
      </c>
      <c r="H27" s="8" t="s">
        <v>296</v>
      </c>
      <c r="I27" s="742">
        <v>11472</v>
      </c>
      <c r="J27" s="8" t="s">
        <v>2697</v>
      </c>
      <c r="K27" s="11" t="s">
        <v>2802</v>
      </c>
      <c r="L27" s="9" t="s">
        <v>2699</v>
      </c>
    </row>
    <row r="28" spans="1:12" ht="28.5">
      <c r="A28" s="7">
        <v>26</v>
      </c>
      <c r="B28" s="8" t="s">
        <v>2803</v>
      </c>
      <c r="C28" s="8" t="s">
        <v>2804</v>
      </c>
      <c r="D28" s="8" t="s">
        <v>2798</v>
      </c>
      <c r="E28" s="9" t="s">
        <v>2702</v>
      </c>
      <c r="F28" s="8" t="s">
        <v>2696</v>
      </c>
      <c r="G28" s="8" t="s">
        <v>831</v>
      </c>
      <c r="H28" s="8" t="s">
        <v>296</v>
      </c>
      <c r="I28" s="742">
        <v>4778</v>
      </c>
      <c r="J28" s="8" t="s">
        <v>2697</v>
      </c>
      <c r="K28" s="11" t="s">
        <v>2805</v>
      </c>
      <c r="L28" s="9" t="s">
        <v>2699</v>
      </c>
    </row>
    <row r="29" spans="1:12" ht="28.5">
      <c r="A29" s="7">
        <v>27</v>
      </c>
      <c r="B29" s="8" t="s">
        <v>2806</v>
      </c>
      <c r="C29" s="8" t="s">
        <v>2807</v>
      </c>
      <c r="D29" s="8" t="s">
        <v>2187</v>
      </c>
      <c r="E29" s="9" t="s">
        <v>2716</v>
      </c>
      <c r="F29" s="8" t="s">
        <v>2717</v>
      </c>
      <c r="G29" s="8" t="s">
        <v>786</v>
      </c>
      <c r="H29" s="8" t="s">
        <v>311</v>
      </c>
      <c r="I29" s="742">
        <v>2207479</v>
      </c>
      <c r="J29" s="8" t="s">
        <v>2697</v>
      </c>
      <c r="K29" s="11" t="s">
        <v>2808</v>
      </c>
      <c r="L29" s="9" t="s">
        <v>2719</v>
      </c>
    </row>
    <row r="30" spans="1:12" ht="15.75" hidden="1">
      <c r="A30" s="7">
        <v>28</v>
      </c>
      <c r="B30" s="8" t="s">
        <v>2809</v>
      </c>
      <c r="C30" s="8" t="s">
        <v>2810</v>
      </c>
      <c r="D30" s="8" t="s">
        <v>2180</v>
      </c>
      <c r="E30" s="9" t="s">
        <v>2811</v>
      </c>
      <c r="F30" s="8" t="s">
        <v>2812</v>
      </c>
      <c r="G30" s="8" t="s">
        <v>786</v>
      </c>
      <c r="H30" s="8" t="s">
        <v>296</v>
      </c>
      <c r="I30" s="10">
        <v>9715</v>
      </c>
      <c r="J30" s="8" t="s">
        <v>2813</v>
      </c>
      <c r="K30" s="11" t="s">
        <v>2814</v>
      </c>
      <c r="L30" s="9" t="s">
        <v>2815</v>
      </c>
    </row>
    <row r="31" spans="1:12" ht="28.5">
      <c r="A31" s="7">
        <v>29</v>
      </c>
      <c r="B31" s="8" t="s">
        <v>2816</v>
      </c>
      <c r="C31" s="8" t="s">
        <v>2817</v>
      </c>
      <c r="D31" s="8" t="s">
        <v>2164</v>
      </c>
      <c r="E31" s="9" t="s">
        <v>2702</v>
      </c>
      <c r="F31" s="8" t="s">
        <v>2696</v>
      </c>
      <c r="G31" s="8" t="s">
        <v>831</v>
      </c>
      <c r="H31" s="8" t="s">
        <v>296</v>
      </c>
      <c r="I31" s="742">
        <v>35151</v>
      </c>
      <c r="J31" s="8" t="s">
        <v>2697</v>
      </c>
      <c r="K31" s="11" t="s">
        <v>2818</v>
      </c>
      <c r="L31" s="9" t="s">
        <v>2699</v>
      </c>
    </row>
    <row r="32" spans="1:12" ht="28.5">
      <c r="A32" s="7">
        <v>30</v>
      </c>
      <c r="B32" s="8" t="s">
        <v>2819</v>
      </c>
      <c r="C32" s="8" t="s">
        <v>2820</v>
      </c>
      <c r="D32" s="8" t="s">
        <v>2164</v>
      </c>
      <c r="E32" s="9" t="s">
        <v>2702</v>
      </c>
      <c r="F32" s="8" t="s">
        <v>2696</v>
      </c>
      <c r="G32" s="8" t="s">
        <v>831</v>
      </c>
      <c r="H32" s="8" t="s">
        <v>296</v>
      </c>
      <c r="I32" s="742">
        <v>17213</v>
      </c>
      <c r="J32" s="8" t="s">
        <v>2697</v>
      </c>
      <c r="K32" s="11" t="s">
        <v>2821</v>
      </c>
      <c r="L32" s="9" t="s">
        <v>2699</v>
      </c>
    </row>
    <row r="33" spans="1:12" ht="28.5">
      <c r="A33" s="7">
        <v>31</v>
      </c>
      <c r="B33" s="8" t="s">
        <v>2822</v>
      </c>
      <c r="C33" s="8" t="s">
        <v>2823</v>
      </c>
      <c r="D33" s="8" t="s">
        <v>2164</v>
      </c>
      <c r="E33" s="9" t="s">
        <v>2702</v>
      </c>
      <c r="F33" s="8" t="s">
        <v>2696</v>
      </c>
      <c r="G33" s="8" t="s">
        <v>831</v>
      </c>
      <c r="H33" s="8" t="s">
        <v>296</v>
      </c>
      <c r="I33" s="742">
        <v>135143</v>
      </c>
      <c r="J33" s="8" t="s">
        <v>2697</v>
      </c>
      <c r="K33" s="11" t="s">
        <v>2824</v>
      </c>
      <c r="L33" s="9" t="s">
        <v>2699</v>
      </c>
    </row>
    <row r="34" spans="1:12" ht="15.75">
      <c r="A34" s="7">
        <v>32</v>
      </c>
      <c r="B34" s="8" t="s">
        <v>2825</v>
      </c>
      <c r="C34" s="8" t="s">
        <v>2826</v>
      </c>
      <c r="D34" s="8" t="s">
        <v>2164</v>
      </c>
      <c r="E34" s="9" t="s">
        <v>2695</v>
      </c>
      <c r="F34" s="8" t="s">
        <v>2696</v>
      </c>
      <c r="G34" s="8" t="s">
        <v>786</v>
      </c>
      <c r="H34" s="8" t="s">
        <v>296</v>
      </c>
      <c r="I34" s="742">
        <v>318</v>
      </c>
      <c r="J34" s="8" t="s">
        <v>2697</v>
      </c>
      <c r="K34" s="11" t="s">
        <v>2827</v>
      </c>
      <c r="L34" s="9" t="s">
        <v>2699</v>
      </c>
    </row>
    <row r="35" spans="1:12" ht="15.75">
      <c r="A35" s="7">
        <v>33</v>
      </c>
      <c r="B35" s="8" t="s">
        <v>2828</v>
      </c>
      <c r="C35" s="8" t="s">
        <v>2829</v>
      </c>
      <c r="D35" s="8" t="s">
        <v>1562</v>
      </c>
      <c r="E35" s="9" t="s">
        <v>2695</v>
      </c>
      <c r="F35" s="8" t="s">
        <v>2696</v>
      </c>
      <c r="G35" s="8" t="s">
        <v>786</v>
      </c>
      <c r="H35" s="8" t="s">
        <v>296</v>
      </c>
      <c r="I35" s="742">
        <v>4073</v>
      </c>
      <c r="J35" s="8" t="s">
        <v>2697</v>
      </c>
      <c r="K35" s="11" t="s">
        <v>2830</v>
      </c>
      <c r="L35" s="9" t="s">
        <v>2699</v>
      </c>
    </row>
    <row r="36" spans="1:12" ht="28.5">
      <c r="A36" s="7">
        <v>34</v>
      </c>
      <c r="B36" s="8" t="s">
        <v>2831</v>
      </c>
      <c r="C36" s="8" t="s">
        <v>2832</v>
      </c>
      <c r="D36" s="8" t="s">
        <v>929</v>
      </c>
      <c r="E36" s="9" t="s">
        <v>2702</v>
      </c>
      <c r="F36" s="8" t="s">
        <v>2696</v>
      </c>
      <c r="G36" s="8" t="s">
        <v>831</v>
      </c>
      <c r="H36" s="8" t="s">
        <v>296</v>
      </c>
      <c r="I36" s="742">
        <v>744</v>
      </c>
      <c r="J36" s="8" t="s">
        <v>2697</v>
      </c>
      <c r="K36" s="11" t="s">
        <v>2833</v>
      </c>
      <c r="L36" s="9" t="s">
        <v>2699</v>
      </c>
    </row>
    <row r="37" spans="1:12" ht="28.5">
      <c r="A37" s="7">
        <v>35</v>
      </c>
      <c r="B37" s="8" t="s">
        <v>2834</v>
      </c>
      <c r="C37" s="8" t="s">
        <v>2835</v>
      </c>
      <c r="D37" s="8" t="s">
        <v>929</v>
      </c>
      <c r="E37" s="9" t="s">
        <v>2702</v>
      </c>
      <c r="F37" s="8" t="s">
        <v>2696</v>
      </c>
      <c r="G37" s="8" t="s">
        <v>831</v>
      </c>
      <c r="H37" s="8" t="s">
        <v>296</v>
      </c>
      <c r="I37" s="742">
        <v>17244</v>
      </c>
      <c r="J37" s="8" t="s">
        <v>2697</v>
      </c>
      <c r="K37" s="11" t="s">
        <v>2836</v>
      </c>
      <c r="L37" s="9" t="s">
        <v>2699</v>
      </c>
    </row>
    <row r="38" spans="1:12" ht="28.5">
      <c r="A38" s="7">
        <v>36</v>
      </c>
      <c r="B38" s="8" t="s">
        <v>2837</v>
      </c>
      <c r="C38" s="8" t="s">
        <v>2838</v>
      </c>
      <c r="D38" s="8" t="s">
        <v>882</v>
      </c>
      <c r="E38" s="9" t="s">
        <v>2702</v>
      </c>
      <c r="F38" s="8" t="s">
        <v>2696</v>
      </c>
      <c r="G38" s="8" t="s">
        <v>831</v>
      </c>
      <c r="H38" s="8" t="s">
        <v>296</v>
      </c>
      <c r="I38" s="742">
        <v>96192</v>
      </c>
      <c r="J38" s="8" t="s">
        <v>2697</v>
      </c>
      <c r="K38" s="11" t="s">
        <v>2839</v>
      </c>
      <c r="L38" s="9" t="s">
        <v>2699</v>
      </c>
    </row>
    <row r="39" spans="1:12" ht="28.5">
      <c r="A39" s="7">
        <v>37</v>
      </c>
      <c r="B39" s="8" t="s">
        <v>2840</v>
      </c>
      <c r="C39" s="8" t="s">
        <v>2841</v>
      </c>
      <c r="D39" s="8" t="s">
        <v>838</v>
      </c>
      <c r="E39" s="9" t="s">
        <v>2716</v>
      </c>
      <c r="F39" s="8" t="s">
        <v>2717</v>
      </c>
      <c r="G39" s="8" t="s">
        <v>786</v>
      </c>
      <c r="H39" s="8" t="s">
        <v>311</v>
      </c>
      <c r="I39" s="742">
        <v>2080279</v>
      </c>
      <c r="J39" s="8" t="s">
        <v>2697</v>
      </c>
      <c r="K39" s="11" t="s">
        <v>2842</v>
      </c>
      <c r="L39" s="9" t="s">
        <v>2719</v>
      </c>
    </row>
    <row r="40" spans="1:12" ht="28.5">
      <c r="A40" s="7">
        <v>38</v>
      </c>
      <c r="B40" s="8" t="s">
        <v>2843</v>
      </c>
      <c r="C40" s="8" t="s">
        <v>2844</v>
      </c>
      <c r="D40" s="8" t="s">
        <v>838</v>
      </c>
      <c r="E40" s="9" t="s">
        <v>2702</v>
      </c>
      <c r="F40" s="8" t="s">
        <v>2696</v>
      </c>
      <c r="G40" s="8" t="s">
        <v>831</v>
      </c>
      <c r="H40" s="8" t="s">
        <v>296</v>
      </c>
      <c r="I40" s="742">
        <v>4351</v>
      </c>
      <c r="J40" s="8" t="s">
        <v>2697</v>
      </c>
      <c r="K40" s="11" t="s">
        <v>2845</v>
      </c>
      <c r="L40" s="9" t="s">
        <v>2699</v>
      </c>
    </row>
    <row r="41" spans="1:12" ht="28.5">
      <c r="A41" s="7">
        <v>39</v>
      </c>
      <c r="B41" s="8" t="s">
        <v>2846</v>
      </c>
      <c r="C41" s="8" t="s">
        <v>2847</v>
      </c>
      <c r="D41" s="8" t="s">
        <v>838</v>
      </c>
      <c r="E41" s="9" t="s">
        <v>2702</v>
      </c>
      <c r="F41" s="8" t="s">
        <v>2696</v>
      </c>
      <c r="G41" s="8" t="s">
        <v>831</v>
      </c>
      <c r="H41" s="8" t="s">
        <v>296</v>
      </c>
      <c r="I41" s="742">
        <v>6090</v>
      </c>
      <c r="J41" s="8" t="s">
        <v>2697</v>
      </c>
      <c r="K41" s="11" t="s">
        <v>2848</v>
      </c>
      <c r="L41" s="9" t="s">
        <v>2699</v>
      </c>
    </row>
    <row r="42" spans="1:12" ht="28.5">
      <c r="A42" s="7">
        <v>40</v>
      </c>
      <c r="B42" s="8" t="s">
        <v>2849</v>
      </c>
      <c r="C42" s="8" t="s">
        <v>2850</v>
      </c>
      <c r="D42" s="8" t="s">
        <v>838</v>
      </c>
      <c r="E42" s="9" t="s">
        <v>2702</v>
      </c>
      <c r="F42" s="8" t="s">
        <v>2696</v>
      </c>
      <c r="G42" s="8" t="s">
        <v>831</v>
      </c>
      <c r="H42" s="8" t="s">
        <v>296</v>
      </c>
      <c r="I42" s="742">
        <v>33545</v>
      </c>
      <c r="J42" s="8" t="s">
        <v>2697</v>
      </c>
      <c r="K42" s="11" t="s">
        <v>2851</v>
      </c>
      <c r="L42" s="9" t="s">
        <v>2699</v>
      </c>
    </row>
    <row r="43" spans="1:12" ht="28.5">
      <c r="A43" s="7">
        <v>41</v>
      </c>
      <c r="B43" s="8" t="s">
        <v>2852</v>
      </c>
      <c r="C43" s="8" t="s">
        <v>2853</v>
      </c>
      <c r="D43" s="8" t="s">
        <v>838</v>
      </c>
      <c r="E43" s="9" t="s">
        <v>2702</v>
      </c>
      <c r="F43" s="8" t="s">
        <v>2696</v>
      </c>
      <c r="G43" s="8" t="s">
        <v>831</v>
      </c>
      <c r="H43" s="8" t="s">
        <v>296</v>
      </c>
      <c r="I43" s="742">
        <v>459</v>
      </c>
      <c r="J43" s="8" t="s">
        <v>2697</v>
      </c>
      <c r="K43" s="11" t="s">
        <v>2854</v>
      </c>
      <c r="L43" s="9" t="s">
        <v>2699</v>
      </c>
    </row>
    <row r="44" spans="1:12" ht="28.5">
      <c r="A44" s="7">
        <v>42</v>
      </c>
      <c r="B44" s="8" t="s">
        <v>2855</v>
      </c>
      <c r="C44" s="8" t="s">
        <v>2856</v>
      </c>
      <c r="D44" s="8" t="s">
        <v>838</v>
      </c>
      <c r="E44" s="9" t="s">
        <v>2702</v>
      </c>
      <c r="F44" s="8" t="s">
        <v>2696</v>
      </c>
      <c r="G44" s="8" t="s">
        <v>831</v>
      </c>
      <c r="H44" s="8" t="s">
        <v>296</v>
      </c>
      <c r="I44" s="742">
        <v>6930</v>
      </c>
      <c r="J44" s="8" t="s">
        <v>2697</v>
      </c>
      <c r="K44" s="11" t="s">
        <v>2857</v>
      </c>
      <c r="L44" s="9" t="s">
        <v>2699</v>
      </c>
    </row>
    <row r="45" spans="1:12" ht="28.5">
      <c r="A45" s="7">
        <v>43</v>
      </c>
      <c r="B45" s="8" t="s">
        <v>2858</v>
      </c>
      <c r="C45" s="8" t="s">
        <v>2859</v>
      </c>
      <c r="D45" s="8" t="s">
        <v>838</v>
      </c>
      <c r="E45" s="9" t="s">
        <v>2702</v>
      </c>
      <c r="F45" s="8" t="s">
        <v>2696</v>
      </c>
      <c r="G45" s="8" t="s">
        <v>831</v>
      </c>
      <c r="H45" s="8" t="s">
        <v>296</v>
      </c>
      <c r="I45" s="742">
        <v>2102</v>
      </c>
      <c r="J45" s="8" t="s">
        <v>2697</v>
      </c>
      <c r="K45" s="11" t="s">
        <v>2860</v>
      </c>
      <c r="L45" s="9" t="s">
        <v>2699</v>
      </c>
    </row>
    <row r="46" spans="1:12" ht="28.5">
      <c r="A46" s="7">
        <v>44</v>
      </c>
      <c r="B46" s="8" t="s">
        <v>2861</v>
      </c>
      <c r="C46" s="8" t="s">
        <v>2862</v>
      </c>
      <c r="D46" s="8" t="s">
        <v>838</v>
      </c>
      <c r="E46" s="9" t="s">
        <v>2702</v>
      </c>
      <c r="F46" s="8" t="s">
        <v>2696</v>
      </c>
      <c r="G46" s="8" t="s">
        <v>831</v>
      </c>
      <c r="H46" s="8" t="s">
        <v>296</v>
      </c>
      <c r="I46" s="742">
        <v>13511</v>
      </c>
      <c r="J46" s="8" t="s">
        <v>2697</v>
      </c>
      <c r="K46" s="11" t="s">
        <v>2863</v>
      </c>
      <c r="L46" s="9" t="s">
        <v>2699</v>
      </c>
    </row>
    <row r="47" spans="1:12" ht="28.5">
      <c r="A47" s="7">
        <v>45</v>
      </c>
      <c r="B47" s="8" t="s">
        <v>2864</v>
      </c>
      <c r="C47" s="8" t="s">
        <v>2865</v>
      </c>
      <c r="D47" s="8" t="s">
        <v>2866</v>
      </c>
      <c r="E47" s="9" t="s">
        <v>2716</v>
      </c>
      <c r="F47" s="8" t="s">
        <v>2717</v>
      </c>
      <c r="G47" s="8" t="s">
        <v>786</v>
      </c>
      <c r="H47" s="8" t="s">
        <v>311</v>
      </c>
      <c r="I47" s="742">
        <v>3371184</v>
      </c>
      <c r="J47" s="8" t="s">
        <v>2697</v>
      </c>
      <c r="K47" s="11" t="s">
        <v>2867</v>
      </c>
      <c r="L47" s="9" t="s">
        <v>2719</v>
      </c>
    </row>
    <row r="48" spans="1:12" ht="15.75">
      <c r="A48" s="7">
        <v>46</v>
      </c>
      <c r="B48" s="8" t="s">
        <v>2868</v>
      </c>
      <c r="C48" s="8" t="s">
        <v>2869</v>
      </c>
      <c r="D48" s="8" t="s">
        <v>2866</v>
      </c>
      <c r="E48" s="9" t="s">
        <v>2695</v>
      </c>
      <c r="F48" s="8" t="s">
        <v>2696</v>
      </c>
      <c r="G48" s="8" t="s">
        <v>786</v>
      </c>
      <c r="H48" s="8" t="s">
        <v>296</v>
      </c>
      <c r="I48" s="742">
        <v>2209</v>
      </c>
      <c r="J48" s="8" t="s">
        <v>2697</v>
      </c>
      <c r="K48" s="11" t="s">
        <v>2870</v>
      </c>
      <c r="L48" s="9" t="s">
        <v>2699</v>
      </c>
    </row>
    <row r="49" spans="1:12" ht="15.75" hidden="1">
      <c r="A49" s="7">
        <v>47</v>
      </c>
      <c r="B49" s="8" t="s">
        <v>2871</v>
      </c>
      <c r="C49" s="8" t="s">
        <v>2872</v>
      </c>
      <c r="D49" s="8" t="s">
        <v>795</v>
      </c>
      <c r="E49" s="9" t="s">
        <v>2873</v>
      </c>
      <c r="F49" s="8" t="s">
        <v>2781</v>
      </c>
      <c r="G49" s="8" t="s">
        <v>786</v>
      </c>
      <c r="H49" s="8" t="s">
        <v>296</v>
      </c>
      <c r="I49" s="10">
        <v>47978</v>
      </c>
      <c r="J49" s="8" t="s">
        <v>2697</v>
      </c>
      <c r="K49" s="11" t="s">
        <v>2874</v>
      </c>
      <c r="L49" s="9" t="s">
        <v>2783</v>
      </c>
    </row>
    <row r="50" spans="1:12" ht="28.5">
      <c r="A50" s="7">
        <v>48</v>
      </c>
      <c r="B50" s="8" t="s">
        <v>2875</v>
      </c>
      <c r="C50" s="8" t="s">
        <v>2876</v>
      </c>
      <c r="D50" s="8" t="s">
        <v>859</v>
      </c>
      <c r="E50" s="9" t="s">
        <v>2702</v>
      </c>
      <c r="F50" s="8" t="s">
        <v>2696</v>
      </c>
      <c r="G50" s="8" t="s">
        <v>831</v>
      </c>
      <c r="H50" s="8" t="s">
        <v>296</v>
      </c>
      <c r="I50" s="742">
        <v>248072</v>
      </c>
      <c r="J50" s="8" t="s">
        <v>2697</v>
      </c>
      <c r="K50" s="11" t="s">
        <v>2877</v>
      </c>
      <c r="L50" s="9" t="s">
        <v>2699</v>
      </c>
    </row>
    <row r="51" spans="1:12" ht="28.5">
      <c r="A51" s="7">
        <v>49</v>
      </c>
      <c r="B51" s="8" t="s">
        <v>2878</v>
      </c>
      <c r="C51" s="8" t="s">
        <v>2879</v>
      </c>
      <c r="D51" s="8" t="s">
        <v>859</v>
      </c>
      <c r="E51" s="9" t="s">
        <v>2702</v>
      </c>
      <c r="F51" s="8" t="s">
        <v>2696</v>
      </c>
      <c r="G51" s="8" t="s">
        <v>831</v>
      </c>
      <c r="H51" s="8" t="s">
        <v>296</v>
      </c>
      <c r="I51" s="742">
        <v>4446</v>
      </c>
      <c r="J51" s="8" t="s">
        <v>2697</v>
      </c>
      <c r="K51" s="11" t="s">
        <v>2880</v>
      </c>
      <c r="L51" s="9" t="s">
        <v>2699</v>
      </c>
    </row>
    <row r="52" spans="1:12" ht="28.5">
      <c r="A52" s="7">
        <v>50</v>
      </c>
      <c r="B52" s="8" t="s">
        <v>2881</v>
      </c>
      <c r="C52" s="8" t="s">
        <v>2882</v>
      </c>
      <c r="D52" s="8" t="s">
        <v>859</v>
      </c>
      <c r="E52" s="9" t="s">
        <v>2702</v>
      </c>
      <c r="F52" s="8" t="s">
        <v>2696</v>
      </c>
      <c r="G52" s="8" t="s">
        <v>831</v>
      </c>
      <c r="H52" s="8" t="s">
        <v>296</v>
      </c>
      <c r="I52" s="742">
        <v>963</v>
      </c>
      <c r="J52" s="8" t="s">
        <v>2697</v>
      </c>
      <c r="K52" s="11" t="s">
        <v>2883</v>
      </c>
      <c r="L52" s="9" t="s">
        <v>2699</v>
      </c>
    </row>
    <row r="53" spans="1:12" ht="28.5" hidden="1">
      <c r="A53" s="7">
        <v>51</v>
      </c>
      <c r="B53" s="8" t="s">
        <v>2884</v>
      </c>
      <c r="C53" s="8" t="s">
        <v>2885</v>
      </c>
      <c r="D53" s="8" t="s">
        <v>1613</v>
      </c>
      <c r="E53" s="9" t="s">
        <v>2707</v>
      </c>
      <c r="F53" s="8" t="s">
        <v>2708</v>
      </c>
      <c r="G53" s="8" t="s">
        <v>786</v>
      </c>
      <c r="H53" s="8" t="s">
        <v>296</v>
      </c>
      <c r="I53" s="10">
        <v>8980</v>
      </c>
      <c r="J53" s="8" t="s">
        <v>2697</v>
      </c>
      <c r="K53" s="11" t="s">
        <v>2886</v>
      </c>
      <c r="L53" s="9" t="s">
        <v>2725</v>
      </c>
    </row>
    <row r="54" spans="1:12" ht="28.5">
      <c r="A54" s="7">
        <v>52</v>
      </c>
      <c r="B54" s="8" t="s">
        <v>2887</v>
      </c>
      <c r="C54" s="8" t="s">
        <v>2888</v>
      </c>
      <c r="D54" s="8" t="s">
        <v>2349</v>
      </c>
      <c r="E54" s="9" t="s">
        <v>2716</v>
      </c>
      <c r="F54" s="8" t="s">
        <v>2717</v>
      </c>
      <c r="G54" s="8" t="s">
        <v>786</v>
      </c>
      <c r="H54" s="8" t="s">
        <v>311</v>
      </c>
      <c r="I54" s="742">
        <v>4501101</v>
      </c>
      <c r="J54" s="8" t="s">
        <v>2697</v>
      </c>
      <c r="K54" s="11" t="s">
        <v>2889</v>
      </c>
      <c r="L54" s="9" t="s">
        <v>2719</v>
      </c>
    </row>
    <row r="55" spans="1:12" ht="28.5">
      <c r="A55" s="7">
        <v>53</v>
      </c>
      <c r="B55" s="8" t="s">
        <v>2890</v>
      </c>
      <c r="C55" s="8" t="s">
        <v>2891</v>
      </c>
      <c r="D55" s="8" t="s">
        <v>2344</v>
      </c>
      <c r="E55" s="9" t="s">
        <v>2892</v>
      </c>
      <c r="F55" s="8" t="s">
        <v>903</v>
      </c>
      <c r="G55" s="8" t="s">
        <v>786</v>
      </c>
      <c r="H55" s="8" t="s">
        <v>296</v>
      </c>
      <c r="I55" s="742">
        <v>113260</v>
      </c>
      <c r="J55" s="8" t="s">
        <v>2697</v>
      </c>
      <c r="K55" s="11" t="s">
        <v>2893</v>
      </c>
      <c r="L55" s="9" t="s">
        <v>2725</v>
      </c>
    </row>
    <row r="56" spans="1:12" ht="28.5">
      <c r="A56" s="7">
        <v>54</v>
      </c>
      <c r="B56" s="8" t="s">
        <v>2894</v>
      </c>
      <c r="C56" s="8" t="s">
        <v>2895</v>
      </c>
      <c r="D56" s="8" t="s">
        <v>2344</v>
      </c>
      <c r="E56" s="9" t="s">
        <v>2702</v>
      </c>
      <c r="F56" s="8" t="s">
        <v>2696</v>
      </c>
      <c r="G56" s="8" t="s">
        <v>831</v>
      </c>
      <c r="H56" s="8" t="s">
        <v>296</v>
      </c>
      <c r="I56" s="742">
        <v>43774</v>
      </c>
      <c r="J56" s="8" t="s">
        <v>2697</v>
      </c>
      <c r="K56" s="11" t="s">
        <v>2896</v>
      </c>
      <c r="L56" s="9" t="s">
        <v>2699</v>
      </c>
    </row>
    <row r="57" spans="1:12" ht="15.75">
      <c r="A57" s="7">
        <v>55</v>
      </c>
      <c r="B57" s="8" t="s">
        <v>2897</v>
      </c>
      <c r="C57" s="8" t="s">
        <v>2898</v>
      </c>
      <c r="D57" s="8" t="s">
        <v>2344</v>
      </c>
      <c r="E57" s="9" t="s">
        <v>2695</v>
      </c>
      <c r="F57" s="8" t="s">
        <v>2696</v>
      </c>
      <c r="G57" s="8" t="s">
        <v>786</v>
      </c>
      <c r="H57" s="8" t="s">
        <v>296</v>
      </c>
      <c r="I57" s="742">
        <v>8310</v>
      </c>
      <c r="J57" s="8" t="s">
        <v>2697</v>
      </c>
      <c r="K57" s="11" t="s">
        <v>2899</v>
      </c>
      <c r="L57" s="9" t="s">
        <v>2699</v>
      </c>
    </row>
    <row r="58" spans="1:12" ht="28.5">
      <c r="A58" s="7">
        <v>56</v>
      </c>
      <c r="B58" s="8" t="s">
        <v>2900</v>
      </c>
      <c r="C58" s="8" t="s">
        <v>2901</v>
      </c>
      <c r="D58" s="8" t="s">
        <v>2341</v>
      </c>
      <c r="E58" s="9" t="s">
        <v>2702</v>
      </c>
      <c r="F58" s="8" t="s">
        <v>2696</v>
      </c>
      <c r="G58" s="8" t="s">
        <v>831</v>
      </c>
      <c r="H58" s="8" t="s">
        <v>296</v>
      </c>
      <c r="I58" s="742">
        <v>23260</v>
      </c>
      <c r="J58" s="8" t="s">
        <v>2697</v>
      </c>
      <c r="K58" s="11" t="s">
        <v>2902</v>
      </c>
      <c r="L58" s="9" t="s">
        <v>2699</v>
      </c>
    </row>
    <row r="59" spans="1:12" ht="15.75">
      <c r="A59" s="7">
        <v>57</v>
      </c>
      <c r="B59" s="8" t="s">
        <v>2903</v>
      </c>
      <c r="C59" s="8" t="s">
        <v>2904</v>
      </c>
      <c r="D59" s="8" t="s">
        <v>2341</v>
      </c>
      <c r="E59" s="9" t="s">
        <v>2695</v>
      </c>
      <c r="F59" s="8" t="s">
        <v>2696</v>
      </c>
      <c r="G59" s="8" t="s">
        <v>786</v>
      </c>
      <c r="H59" s="8" t="s">
        <v>296</v>
      </c>
      <c r="I59" s="742">
        <v>4384</v>
      </c>
      <c r="J59" s="8" t="s">
        <v>2697</v>
      </c>
      <c r="K59" s="11" t="s">
        <v>2905</v>
      </c>
      <c r="L59" s="9" t="s">
        <v>2699</v>
      </c>
    </row>
    <row r="60" spans="1:12" ht="28.5">
      <c r="A60" s="7">
        <v>58</v>
      </c>
      <c r="B60" s="8" t="s">
        <v>2906</v>
      </c>
      <c r="C60" s="8" t="s">
        <v>2907</v>
      </c>
      <c r="D60" s="8" t="s">
        <v>914</v>
      </c>
      <c r="E60" s="9" t="s">
        <v>2723</v>
      </c>
      <c r="F60" s="8" t="s">
        <v>903</v>
      </c>
      <c r="G60" s="8" t="s">
        <v>786</v>
      </c>
      <c r="H60" s="8" t="s">
        <v>296</v>
      </c>
      <c r="I60" s="742">
        <v>172238</v>
      </c>
      <c r="J60" s="8" t="s">
        <v>2697</v>
      </c>
      <c r="K60" s="11" t="s">
        <v>2908</v>
      </c>
      <c r="L60" s="9" t="s">
        <v>2725</v>
      </c>
    </row>
    <row r="61" spans="1:12" ht="28.5" hidden="1">
      <c r="A61" s="7">
        <v>59</v>
      </c>
      <c r="B61" s="8" t="s">
        <v>2909</v>
      </c>
      <c r="C61" s="8" t="s">
        <v>2910</v>
      </c>
      <c r="D61" s="8" t="s">
        <v>2911</v>
      </c>
      <c r="E61" s="9" t="s">
        <v>2766</v>
      </c>
      <c r="F61" s="8" t="s">
        <v>2767</v>
      </c>
      <c r="G61" s="8" t="s">
        <v>786</v>
      </c>
      <c r="H61" s="8" t="s">
        <v>311</v>
      </c>
      <c r="I61" s="10">
        <v>14788</v>
      </c>
      <c r="J61" s="8" t="s">
        <v>2697</v>
      </c>
      <c r="K61" s="11" t="s">
        <v>2912</v>
      </c>
      <c r="L61" s="9" t="s">
        <v>2769</v>
      </c>
    </row>
    <row r="62" spans="1:12" ht="15.75">
      <c r="A62" s="7">
        <v>60</v>
      </c>
      <c r="B62" s="8" t="s">
        <v>2913</v>
      </c>
      <c r="C62" s="8" t="s">
        <v>2914</v>
      </c>
      <c r="D62" s="8" t="s">
        <v>2327</v>
      </c>
      <c r="E62" s="9" t="s">
        <v>2695</v>
      </c>
      <c r="F62" s="8" t="s">
        <v>2696</v>
      </c>
      <c r="G62" s="8" t="s">
        <v>786</v>
      </c>
      <c r="H62" s="8" t="s">
        <v>296</v>
      </c>
      <c r="I62" s="742">
        <v>529</v>
      </c>
      <c r="J62" s="8" t="s">
        <v>2697</v>
      </c>
      <c r="K62" s="11" t="s">
        <v>2915</v>
      </c>
      <c r="L62" s="9" t="s">
        <v>2699</v>
      </c>
    </row>
    <row r="63" spans="1:12" ht="15.75">
      <c r="A63" s="7">
        <v>61</v>
      </c>
      <c r="B63" s="8" t="s">
        <v>2916</v>
      </c>
      <c r="C63" s="8" t="s">
        <v>2917</v>
      </c>
      <c r="D63" s="8" t="s">
        <v>2918</v>
      </c>
      <c r="E63" s="9" t="s">
        <v>2695</v>
      </c>
      <c r="F63" s="8" t="s">
        <v>2696</v>
      </c>
      <c r="G63" s="8" t="s">
        <v>786</v>
      </c>
      <c r="H63" s="8" t="s">
        <v>296</v>
      </c>
      <c r="I63" s="742">
        <v>6615</v>
      </c>
      <c r="J63" s="8" t="s">
        <v>2697</v>
      </c>
      <c r="K63" s="11" t="s">
        <v>2919</v>
      </c>
      <c r="L63" s="9" t="s">
        <v>2699</v>
      </c>
    </row>
    <row r="64" spans="1:12" ht="28.5">
      <c r="A64" s="7">
        <v>62</v>
      </c>
      <c r="B64" s="8" t="s">
        <v>2920</v>
      </c>
      <c r="C64" s="8" t="s">
        <v>2921</v>
      </c>
      <c r="D64" s="8" t="s">
        <v>2918</v>
      </c>
      <c r="E64" s="9" t="s">
        <v>2702</v>
      </c>
      <c r="F64" s="8" t="s">
        <v>2696</v>
      </c>
      <c r="G64" s="8" t="s">
        <v>831</v>
      </c>
      <c r="H64" s="8" t="s">
        <v>296</v>
      </c>
      <c r="I64" s="742">
        <v>17800</v>
      </c>
      <c r="J64" s="8" t="s">
        <v>2697</v>
      </c>
      <c r="K64" s="11" t="s">
        <v>2922</v>
      </c>
      <c r="L64" s="9" t="s">
        <v>2699</v>
      </c>
    </row>
    <row r="65" spans="1:12" ht="28.5">
      <c r="A65" s="7">
        <v>63</v>
      </c>
      <c r="B65" s="8" t="s">
        <v>2923</v>
      </c>
      <c r="C65" s="8" t="s">
        <v>2924</v>
      </c>
      <c r="D65" s="8" t="s">
        <v>2918</v>
      </c>
      <c r="E65" s="9" t="s">
        <v>2702</v>
      </c>
      <c r="F65" s="8" t="s">
        <v>2696</v>
      </c>
      <c r="G65" s="8" t="s">
        <v>831</v>
      </c>
      <c r="H65" s="8" t="s">
        <v>296</v>
      </c>
      <c r="I65" s="742">
        <v>23260</v>
      </c>
      <c r="J65" s="8" t="s">
        <v>2697</v>
      </c>
      <c r="K65" s="11" t="s">
        <v>2902</v>
      </c>
      <c r="L65" s="9" t="s">
        <v>2699</v>
      </c>
    </row>
    <row r="66" spans="1:12" ht="28.5" hidden="1">
      <c r="A66" s="7">
        <v>64</v>
      </c>
      <c r="B66" s="8" t="s">
        <v>2925</v>
      </c>
      <c r="C66" s="8" t="s">
        <v>2926</v>
      </c>
      <c r="D66" s="8" t="s">
        <v>2461</v>
      </c>
      <c r="E66" s="9" t="s">
        <v>2927</v>
      </c>
      <c r="F66" s="8" t="s">
        <v>2781</v>
      </c>
      <c r="G66" s="8" t="s">
        <v>786</v>
      </c>
      <c r="H66" s="8" t="s">
        <v>311</v>
      </c>
      <c r="I66" s="10">
        <v>128800</v>
      </c>
      <c r="J66" s="8" t="s">
        <v>2697</v>
      </c>
      <c r="K66" s="11" t="s">
        <v>2928</v>
      </c>
      <c r="L66" s="9" t="s">
        <v>2769</v>
      </c>
    </row>
    <row r="67" spans="1:12" ht="28.5">
      <c r="A67" s="7">
        <v>65</v>
      </c>
      <c r="B67" s="8" t="s">
        <v>2929</v>
      </c>
      <c r="C67" s="8" t="s">
        <v>2930</v>
      </c>
      <c r="D67" s="8" t="s">
        <v>824</v>
      </c>
      <c r="E67" s="9" t="s">
        <v>2716</v>
      </c>
      <c r="F67" s="8" t="s">
        <v>2717</v>
      </c>
      <c r="G67" s="8" t="s">
        <v>786</v>
      </c>
      <c r="H67" s="8" t="s">
        <v>311</v>
      </c>
      <c r="I67" s="742">
        <v>1473441</v>
      </c>
      <c r="J67" s="8" t="s">
        <v>2697</v>
      </c>
      <c r="K67" s="11" t="s">
        <v>2931</v>
      </c>
      <c r="L67" s="9" t="s">
        <v>2719</v>
      </c>
    </row>
    <row r="68" spans="1:12" ht="28.5">
      <c r="A68" s="7">
        <v>66</v>
      </c>
      <c r="B68" s="8" t="s">
        <v>2932</v>
      </c>
      <c r="C68" s="8" t="s">
        <v>2933</v>
      </c>
      <c r="D68" s="8" t="s">
        <v>2934</v>
      </c>
      <c r="E68" s="9" t="s">
        <v>2702</v>
      </c>
      <c r="F68" s="8" t="s">
        <v>2696</v>
      </c>
      <c r="G68" s="8" t="s">
        <v>831</v>
      </c>
      <c r="H68" s="8" t="s">
        <v>296</v>
      </c>
      <c r="I68" s="742">
        <v>95084</v>
      </c>
      <c r="J68" s="8" t="s">
        <v>2697</v>
      </c>
      <c r="K68" s="11" t="s">
        <v>2935</v>
      </c>
      <c r="L68" s="9" t="s">
        <v>2699</v>
      </c>
    </row>
    <row r="69" spans="1:12" ht="28.5">
      <c r="A69" s="7">
        <v>67</v>
      </c>
      <c r="B69" s="8" t="s">
        <v>2936</v>
      </c>
      <c r="C69" s="8" t="s">
        <v>2937</v>
      </c>
      <c r="D69" s="8" t="s">
        <v>2938</v>
      </c>
      <c r="E69" s="9" t="s">
        <v>2702</v>
      </c>
      <c r="F69" s="8" t="s">
        <v>2696</v>
      </c>
      <c r="G69" s="8" t="s">
        <v>831</v>
      </c>
      <c r="H69" s="8" t="s">
        <v>296</v>
      </c>
      <c r="I69" s="742">
        <v>41521</v>
      </c>
      <c r="J69" s="8" t="s">
        <v>2697</v>
      </c>
      <c r="K69" s="11" t="s">
        <v>2939</v>
      </c>
      <c r="L69" s="9" t="s">
        <v>2699</v>
      </c>
    </row>
    <row r="70" spans="1:12" ht="28.5">
      <c r="A70" s="7">
        <v>68</v>
      </c>
      <c r="B70" s="8" t="s">
        <v>2940</v>
      </c>
      <c r="C70" s="8" t="s">
        <v>2941</v>
      </c>
      <c r="D70" s="8" t="s">
        <v>2938</v>
      </c>
      <c r="E70" s="9" t="s">
        <v>2702</v>
      </c>
      <c r="F70" s="8" t="s">
        <v>2696</v>
      </c>
      <c r="G70" s="8" t="s">
        <v>831</v>
      </c>
      <c r="H70" s="8" t="s">
        <v>296</v>
      </c>
      <c r="I70" s="742">
        <v>55510</v>
      </c>
      <c r="J70" s="8" t="s">
        <v>2697</v>
      </c>
      <c r="K70" s="11" t="s">
        <v>2942</v>
      </c>
      <c r="L70" s="9" t="s">
        <v>2699</v>
      </c>
    </row>
    <row r="71" spans="1:12" ht="28.5">
      <c r="A71" s="7">
        <v>69</v>
      </c>
      <c r="B71" s="8" t="s">
        <v>2943</v>
      </c>
      <c r="C71" s="8" t="s">
        <v>2944</v>
      </c>
      <c r="D71" s="8" t="s">
        <v>2938</v>
      </c>
      <c r="E71" s="9" t="s">
        <v>2702</v>
      </c>
      <c r="F71" s="8" t="s">
        <v>2696</v>
      </c>
      <c r="G71" s="8" t="s">
        <v>831</v>
      </c>
      <c r="H71" s="8" t="s">
        <v>296</v>
      </c>
      <c r="I71" s="742">
        <v>25832</v>
      </c>
      <c r="J71" s="8" t="s">
        <v>2697</v>
      </c>
      <c r="K71" s="11" t="s">
        <v>2945</v>
      </c>
      <c r="L71" s="9" t="s">
        <v>2699</v>
      </c>
    </row>
    <row r="72" spans="1:12" ht="28.5">
      <c r="A72" s="7">
        <v>70</v>
      </c>
      <c r="B72" s="8" t="s">
        <v>2946</v>
      </c>
      <c r="C72" s="8" t="s">
        <v>2947</v>
      </c>
      <c r="D72" s="8" t="s">
        <v>2938</v>
      </c>
      <c r="E72" s="9" t="s">
        <v>2702</v>
      </c>
      <c r="F72" s="8" t="s">
        <v>2696</v>
      </c>
      <c r="G72" s="8" t="s">
        <v>831</v>
      </c>
      <c r="H72" s="8" t="s">
        <v>296</v>
      </c>
      <c r="I72" s="742">
        <v>112175</v>
      </c>
      <c r="J72" s="8" t="s">
        <v>2697</v>
      </c>
      <c r="K72" s="11" t="s">
        <v>2948</v>
      </c>
      <c r="L72" s="9" t="s">
        <v>2699</v>
      </c>
    </row>
    <row r="73" spans="1:12" ht="28.5" hidden="1">
      <c r="A73" s="7">
        <v>71</v>
      </c>
      <c r="B73" s="8" t="s">
        <v>2949</v>
      </c>
      <c r="C73" s="8" t="s">
        <v>2950</v>
      </c>
      <c r="D73" s="8" t="s">
        <v>2951</v>
      </c>
      <c r="E73" s="9" t="s">
        <v>2766</v>
      </c>
      <c r="F73" s="8" t="s">
        <v>2767</v>
      </c>
      <c r="G73" s="8" t="s">
        <v>786</v>
      </c>
      <c r="H73" s="8" t="s">
        <v>311</v>
      </c>
      <c r="I73" s="10">
        <v>48495</v>
      </c>
      <c r="J73" s="8" t="s">
        <v>2697</v>
      </c>
      <c r="K73" s="11" t="s">
        <v>2952</v>
      </c>
      <c r="L73" s="9" t="s">
        <v>2769</v>
      </c>
    </row>
    <row r="74" spans="1:12" ht="28.5">
      <c r="A74" s="7">
        <v>72</v>
      </c>
      <c r="B74" s="8" t="s">
        <v>2953</v>
      </c>
      <c r="C74" s="8" t="s">
        <v>2954</v>
      </c>
      <c r="D74" s="8" t="s">
        <v>2951</v>
      </c>
      <c r="E74" s="9" t="s">
        <v>2716</v>
      </c>
      <c r="F74" s="8" t="s">
        <v>2717</v>
      </c>
      <c r="G74" s="8" t="s">
        <v>786</v>
      </c>
      <c r="H74" s="8" t="s">
        <v>311</v>
      </c>
      <c r="I74" s="742">
        <v>2535816</v>
      </c>
      <c r="J74" s="8" t="s">
        <v>2697</v>
      </c>
      <c r="K74" s="11" t="s">
        <v>2955</v>
      </c>
      <c r="L74" s="9" t="s">
        <v>2719</v>
      </c>
    </row>
    <row r="75" spans="1:12" ht="28.5" hidden="1">
      <c r="A75" s="7">
        <v>73</v>
      </c>
      <c r="B75" s="8" t="s">
        <v>2956</v>
      </c>
      <c r="C75" s="8" t="s">
        <v>2957</v>
      </c>
      <c r="D75" s="8" t="s">
        <v>2951</v>
      </c>
      <c r="E75" s="9" t="s">
        <v>2958</v>
      </c>
      <c r="F75" s="8" t="s">
        <v>2959</v>
      </c>
      <c r="G75" s="8" t="s">
        <v>786</v>
      </c>
      <c r="H75" s="8" t="s">
        <v>296</v>
      </c>
      <c r="I75" s="10">
        <v>4470</v>
      </c>
      <c r="J75" s="8" t="s">
        <v>2697</v>
      </c>
      <c r="K75" s="11" t="s">
        <v>2960</v>
      </c>
      <c r="L75" s="9" t="s">
        <v>2725</v>
      </c>
    </row>
    <row r="76" spans="1:12" ht="28.5">
      <c r="A76" s="7">
        <v>74</v>
      </c>
      <c r="B76" s="8" t="s">
        <v>2961</v>
      </c>
      <c r="C76" s="8" t="s">
        <v>2962</v>
      </c>
      <c r="D76" s="8" t="s">
        <v>2951</v>
      </c>
      <c r="E76" s="9" t="s">
        <v>2702</v>
      </c>
      <c r="F76" s="8" t="s">
        <v>2696</v>
      </c>
      <c r="G76" s="8" t="s">
        <v>831</v>
      </c>
      <c r="H76" s="8" t="s">
        <v>296</v>
      </c>
      <c r="I76" s="742">
        <v>27785</v>
      </c>
      <c r="J76" s="8" t="s">
        <v>2697</v>
      </c>
      <c r="K76" s="11" t="s">
        <v>2963</v>
      </c>
      <c r="L76" s="9" t="s">
        <v>2699</v>
      </c>
    </row>
    <row r="77" spans="1:12" ht="15.75">
      <c r="A77" s="7">
        <v>75</v>
      </c>
      <c r="B77" s="8" t="s">
        <v>2964</v>
      </c>
      <c r="C77" s="8" t="s">
        <v>2965</v>
      </c>
      <c r="D77" s="8" t="s">
        <v>2522</v>
      </c>
      <c r="E77" s="9" t="s">
        <v>2695</v>
      </c>
      <c r="F77" s="8" t="s">
        <v>2696</v>
      </c>
      <c r="G77" s="8" t="s">
        <v>786</v>
      </c>
      <c r="H77" s="8" t="s">
        <v>296</v>
      </c>
      <c r="I77" s="742">
        <v>6823</v>
      </c>
      <c r="J77" s="8" t="s">
        <v>2697</v>
      </c>
      <c r="K77" s="11" t="s">
        <v>2966</v>
      </c>
      <c r="L77" s="9" t="s">
        <v>2699</v>
      </c>
    </row>
    <row r="78" spans="1:12" ht="28.5">
      <c r="A78" s="7">
        <v>76</v>
      </c>
      <c r="B78" s="8" t="s">
        <v>2967</v>
      </c>
      <c r="C78" s="8" t="s">
        <v>2968</v>
      </c>
      <c r="D78" s="8" t="s">
        <v>2522</v>
      </c>
      <c r="E78" s="9" t="s">
        <v>2716</v>
      </c>
      <c r="F78" s="8" t="s">
        <v>2717</v>
      </c>
      <c r="G78" s="8" t="s">
        <v>786</v>
      </c>
      <c r="H78" s="8" t="s">
        <v>311</v>
      </c>
      <c r="I78" s="742">
        <v>1930415</v>
      </c>
      <c r="J78" s="8" t="s">
        <v>2697</v>
      </c>
      <c r="K78" s="11" t="s">
        <v>2969</v>
      </c>
      <c r="L78" s="9" t="s">
        <v>2719</v>
      </c>
    </row>
    <row r="79" spans="1:12" ht="28.5">
      <c r="A79" s="7">
        <v>77</v>
      </c>
      <c r="B79" s="8" t="s">
        <v>2970</v>
      </c>
      <c r="C79" s="8" t="s">
        <v>2971</v>
      </c>
      <c r="D79" s="8" t="s">
        <v>2506</v>
      </c>
      <c r="E79" s="9" t="s">
        <v>2702</v>
      </c>
      <c r="F79" s="8" t="s">
        <v>2696</v>
      </c>
      <c r="G79" s="8" t="s">
        <v>831</v>
      </c>
      <c r="H79" s="8" t="s">
        <v>296</v>
      </c>
      <c r="I79" s="742">
        <v>123963</v>
      </c>
      <c r="J79" s="8" t="s">
        <v>2697</v>
      </c>
      <c r="K79" s="11" t="s">
        <v>2972</v>
      </c>
      <c r="L79" s="9" t="s">
        <v>2699</v>
      </c>
    </row>
    <row r="80" spans="1:12" ht="15.75" hidden="1">
      <c r="A80" s="7">
        <v>78</v>
      </c>
      <c r="B80" s="8" t="s">
        <v>2973</v>
      </c>
      <c r="C80" s="8" t="s">
        <v>2974</v>
      </c>
      <c r="D80" s="8" t="s">
        <v>2975</v>
      </c>
      <c r="E80" s="9" t="s">
        <v>2976</v>
      </c>
      <c r="F80" s="8" t="s">
        <v>2781</v>
      </c>
      <c r="G80" s="8" t="s">
        <v>786</v>
      </c>
      <c r="H80" s="8" t="s">
        <v>311</v>
      </c>
      <c r="I80" s="10">
        <v>14700</v>
      </c>
      <c r="J80" s="8" t="s">
        <v>2977</v>
      </c>
      <c r="K80" s="11" t="s">
        <v>2978</v>
      </c>
      <c r="L80" s="9" t="s">
        <v>2979</v>
      </c>
    </row>
    <row r="81" spans="1:12" ht="28.5">
      <c r="A81" s="7">
        <v>79</v>
      </c>
      <c r="B81" s="8" t="s">
        <v>2980</v>
      </c>
      <c r="C81" s="8" t="s">
        <v>2981</v>
      </c>
      <c r="D81" s="8" t="s">
        <v>2982</v>
      </c>
      <c r="E81" s="9" t="s">
        <v>2702</v>
      </c>
      <c r="F81" s="8" t="s">
        <v>2696</v>
      </c>
      <c r="G81" s="8" t="s">
        <v>831</v>
      </c>
      <c r="H81" s="8" t="s">
        <v>296</v>
      </c>
      <c r="I81" s="742">
        <v>459</v>
      </c>
      <c r="J81" s="8" t="s">
        <v>2697</v>
      </c>
      <c r="K81" s="11" t="s">
        <v>2854</v>
      </c>
      <c r="L81" s="9" t="s">
        <v>2699</v>
      </c>
    </row>
    <row r="82" spans="1:12" ht="28.5">
      <c r="A82" s="7">
        <v>80</v>
      </c>
      <c r="B82" s="8" t="s">
        <v>2983</v>
      </c>
      <c r="C82" s="8" t="s">
        <v>2984</v>
      </c>
      <c r="D82" s="8" t="s">
        <v>2982</v>
      </c>
      <c r="E82" s="9" t="s">
        <v>2702</v>
      </c>
      <c r="F82" s="8" t="s">
        <v>2696</v>
      </c>
      <c r="G82" s="8" t="s">
        <v>831</v>
      </c>
      <c r="H82" s="8" t="s">
        <v>296</v>
      </c>
      <c r="I82" s="742">
        <v>93852</v>
      </c>
      <c r="J82" s="8" t="s">
        <v>2697</v>
      </c>
      <c r="K82" s="11" t="s">
        <v>2985</v>
      </c>
      <c r="L82" s="9" t="s">
        <v>2699</v>
      </c>
    </row>
    <row r="83" spans="1:12" ht="28.5">
      <c r="A83" s="7">
        <v>81</v>
      </c>
      <c r="B83" s="8" t="s">
        <v>2986</v>
      </c>
      <c r="C83" s="8" t="s">
        <v>2987</v>
      </c>
      <c r="D83" s="8" t="s">
        <v>2982</v>
      </c>
      <c r="E83" s="9" t="s">
        <v>2702</v>
      </c>
      <c r="F83" s="8" t="s">
        <v>2696</v>
      </c>
      <c r="G83" s="8" t="s">
        <v>831</v>
      </c>
      <c r="H83" s="8" t="s">
        <v>296</v>
      </c>
      <c r="I83" s="742">
        <v>29311</v>
      </c>
      <c r="J83" s="8" t="s">
        <v>2697</v>
      </c>
      <c r="K83" s="11" t="s">
        <v>2988</v>
      </c>
      <c r="L83" s="9" t="s">
        <v>2699</v>
      </c>
    </row>
    <row r="84" spans="1:12" ht="28.5">
      <c r="A84" s="7">
        <v>82</v>
      </c>
      <c r="B84" s="8" t="s">
        <v>2989</v>
      </c>
      <c r="C84" s="8" t="s">
        <v>2990</v>
      </c>
      <c r="D84" s="8" t="s">
        <v>2487</v>
      </c>
      <c r="E84" s="9" t="s">
        <v>2702</v>
      </c>
      <c r="F84" s="8" t="s">
        <v>2696</v>
      </c>
      <c r="G84" s="8" t="s">
        <v>831</v>
      </c>
      <c r="H84" s="8" t="s">
        <v>296</v>
      </c>
      <c r="I84" s="742">
        <v>738</v>
      </c>
      <c r="J84" s="8" t="s">
        <v>2697</v>
      </c>
      <c r="K84" s="11" t="s">
        <v>2991</v>
      </c>
      <c r="L84" s="9" t="s">
        <v>2699</v>
      </c>
    </row>
    <row r="85" spans="1:12" ht="28.5">
      <c r="A85" s="7">
        <v>83</v>
      </c>
      <c r="B85" s="8" t="s">
        <v>2992</v>
      </c>
      <c r="C85" s="8" t="s">
        <v>2993</v>
      </c>
      <c r="D85" s="8" t="s">
        <v>2487</v>
      </c>
      <c r="E85" s="9" t="s">
        <v>2716</v>
      </c>
      <c r="F85" s="8" t="s">
        <v>2717</v>
      </c>
      <c r="G85" s="8" t="s">
        <v>786</v>
      </c>
      <c r="H85" s="8" t="s">
        <v>311</v>
      </c>
      <c r="I85" s="742">
        <v>1805358</v>
      </c>
      <c r="J85" s="8" t="s">
        <v>2697</v>
      </c>
      <c r="K85" s="11" t="s">
        <v>2994</v>
      </c>
      <c r="L85" s="9" t="s">
        <v>2719</v>
      </c>
    </row>
    <row r="86" spans="1:12" ht="28.5">
      <c r="A86" s="7">
        <v>84</v>
      </c>
      <c r="B86" s="8" t="s">
        <v>2995</v>
      </c>
      <c r="C86" s="8" t="s">
        <v>2996</v>
      </c>
      <c r="D86" s="8" t="s">
        <v>2997</v>
      </c>
      <c r="E86" s="9" t="s">
        <v>2702</v>
      </c>
      <c r="F86" s="8" t="s">
        <v>2696</v>
      </c>
      <c r="G86" s="8" t="s">
        <v>831</v>
      </c>
      <c r="H86" s="8" t="s">
        <v>296</v>
      </c>
      <c r="I86" s="742">
        <v>120615</v>
      </c>
      <c r="J86" s="8" t="s">
        <v>2697</v>
      </c>
      <c r="K86" s="11" t="s">
        <v>2998</v>
      </c>
      <c r="L86" s="9" t="s">
        <v>2699</v>
      </c>
    </row>
    <row r="87" spans="1:12" ht="28.5">
      <c r="A87" s="7">
        <v>85</v>
      </c>
      <c r="B87" s="8" t="s">
        <v>2999</v>
      </c>
      <c r="C87" s="8" t="s">
        <v>3000</v>
      </c>
      <c r="D87" s="8" t="s">
        <v>2557</v>
      </c>
      <c r="E87" s="9" t="s">
        <v>2702</v>
      </c>
      <c r="F87" s="8" t="s">
        <v>2696</v>
      </c>
      <c r="G87" s="8" t="s">
        <v>831</v>
      </c>
      <c r="H87" s="8" t="s">
        <v>296</v>
      </c>
      <c r="I87" s="742">
        <v>50285</v>
      </c>
      <c r="J87" s="8" t="s">
        <v>2697</v>
      </c>
      <c r="K87" s="11" t="s">
        <v>3001</v>
      </c>
      <c r="L87" s="9" t="s">
        <v>2699</v>
      </c>
    </row>
    <row r="88" spans="1:12" ht="28.5">
      <c r="A88" s="7">
        <v>86</v>
      </c>
      <c r="B88" s="8" t="s">
        <v>3002</v>
      </c>
      <c r="C88" s="8" t="s">
        <v>3003</v>
      </c>
      <c r="D88" s="8" t="s">
        <v>2557</v>
      </c>
      <c r="E88" s="9" t="s">
        <v>2702</v>
      </c>
      <c r="F88" s="8" t="s">
        <v>2696</v>
      </c>
      <c r="G88" s="8" t="s">
        <v>831</v>
      </c>
      <c r="H88" s="8" t="s">
        <v>296</v>
      </c>
      <c r="I88" s="742">
        <v>81022</v>
      </c>
      <c r="J88" s="8" t="s">
        <v>2697</v>
      </c>
      <c r="K88" s="11" t="s">
        <v>3004</v>
      </c>
      <c r="L88" s="9" t="s">
        <v>2699</v>
      </c>
    </row>
    <row r="89" spans="1:12" ht="15.75">
      <c r="A89" s="7">
        <v>87</v>
      </c>
      <c r="B89" s="8" t="s">
        <v>3005</v>
      </c>
      <c r="C89" s="8" t="s">
        <v>3006</v>
      </c>
      <c r="D89" s="8" t="s">
        <v>2557</v>
      </c>
      <c r="E89" s="9" t="s">
        <v>2695</v>
      </c>
      <c r="F89" s="8" t="s">
        <v>2696</v>
      </c>
      <c r="G89" s="8" t="s">
        <v>786</v>
      </c>
      <c r="H89" s="8" t="s">
        <v>296</v>
      </c>
      <c r="I89" s="742">
        <v>142</v>
      </c>
      <c r="J89" s="8" t="s">
        <v>2697</v>
      </c>
      <c r="K89" s="11" t="s">
        <v>3007</v>
      </c>
      <c r="L89" s="9" t="s">
        <v>3008</v>
      </c>
    </row>
    <row r="90" spans="1:12" ht="28.5" hidden="1">
      <c r="A90" s="7">
        <v>88</v>
      </c>
      <c r="B90" s="8" t="s">
        <v>3009</v>
      </c>
      <c r="C90" s="8" t="s">
        <v>3010</v>
      </c>
      <c r="D90" s="8" t="s">
        <v>2557</v>
      </c>
      <c r="E90" s="9" t="s">
        <v>3011</v>
      </c>
      <c r="F90" s="8" t="s">
        <v>3012</v>
      </c>
      <c r="G90" s="8" t="s">
        <v>786</v>
      </c>
      <c r="H90" s="8" t="s">
        <v>311</v>
      </c>
      <c r="I90" s="10">
        <v>59243</v>
      </c>
      <c r="J90" s="8" t="s">
        <v>2697</v>
      </c>
      <c r="K90" s="11" t="s">
        <v>3013</v>
      </c>
      <c r="L90" s="9" t="s">
        <v>3014</v>
      </c>
    </row>
    <row r="91" spans="1:12" s="747" customFormat="1" ht="28.5" hidden="1">
      <c r="A91" s="743">
        <v>89</v>
      </c>
      <c r="B91" s="744" t="s">
        <v>3015</v>
      </c>
      <c r="C91" s="744" t="s">
        <v>3016</v>
      </c>
      <c r="D91" s="744" t="s">
        <v>2557</v>
      </c>
      <c r="E91" s="745" t="s">
        <v>3017</v>
      </c>
      <c r="F91" s="744" t="s">
        <v>3018</v>
      </c>
      <c r="G91" s="744" t="s">
        <v>786</v>
      </c>
      <c r="H91" s="744" t="s">
        <v>306</v>
      </c>
      <c r="I91" s="746">
        <v>3173</v>
      </c>
      <c r="J91" s="744" t="s">
        <v>2697</v>
      </c>
      <c r="K91" s="744" t="s">
        <v>3019</v>
      </c>
      <c r="L91" s="745" t="s">
        <v>3014</v>
      </c>
    </row>
    <row r="92" spans="1:12" ht="28.5">
      <c r="A92" s="7">
        <v>90</v>
      </c>
      <c r="B92" s="8" t="s">
        <v>3020</v>
      </c>
      <c r="C92" s="8" t="s">
        <v>3021</v>
      </c>
      <c r="D92" s="8" t="s">
        <v>2529</v>
      </c>
      <c r="E92" s="9" t="s">
        <v>2702</v>
      </c>
      <c r="F92" s="8" t="s">
        <v>2696</v>
      </c>
      <c r="G92" s="8" t="s">
        <v>831</v>
      </c>
      <c r="H92" s="8" t="s">
        <v>296</v>
      </c>
      <c r="I92" s="742">
        <v>134013</v>
      </c>
      <c r="J92" s="8" t="s">
        <v>2697</v>
      </c>
      <c r="K92" s="11" t="s">
        <v>3022</v>
      </c>
      <c r="L92" s="9" t="s">
        <v>2699</v>
      </c>
    </row>
    <row r="93" spans="1:12" ht="28.5">
      <c r="A93" s="7">
        <v>91</v>
      </c>
      <c r="B93" s="8" t="s">
        <v>3023</v>
      </c>
      <c r="C93" s="8" t="s">
        <v>3024</v>
      </c>
      <c r="D93" s="8" t="s">
        <v>2529</v>
      </c>
      <c r="E93" s="9" t="s">
        <v>2702</v>
      </c>
      <c r="F93" s="8" t="s">
        <v>2696</v>
      </c>
      <c r="G93" s="8" t="s">
        <v>831</v>
      </c>
      <c r="H93" s="8" t="s">
        <v>296</v>
      </c>
      <c r="I93" s="742">
        <v>21930</v>
      </c>
      <c r="J93" s="8" t="s">
        <v>2697</v>
      </c>
      <c r="K93" s="11" t="s">
        <v>3025</v>
      </c>
      <c r="L93" s="9" t="s">
        <v>2699</v>
      </c>
    </row>
    <row r="94" spans="1:12" ht="28.5">
      <c r="A94" s="7">
        <v>92</v>
      </c>
      <c r="B94" s="8" t="s">
        <v>3026</v>
      </c>
      <c r="C94" s="8" t="s">
        <v>3027</v>
      </c>
      <c r="D94" s="8" t="s">
        <v>2614</v>
      </c>
      <c r="E94" s="9" t="s">
        <v>2702</v>
      </c>
      <c r="F94" s="8" t="s">
        <v>2696</v>
      </c>
      <c r="G94" s="8" t="s">
        <v>831</v>
      </c>
      <c r="H94" s="8" t="s">
        <v>296</v>
      </c>
      <c r="I94" s="742">
        <v>56184</v>
      </c>
      <c r="J94" s="8" t="s">
        <v>2697</v>
      </c>
      <c r="K94" s="11" t="s">
        <v>3028</v>
      </c>
      <c r="L94" s="9" t="s">
        <v>2699</v>
      </c>
    </row>
    <row r="95" spans="1:12" ht="28.5" hidden="1">
      <c r="A95" s="7">
        <v>93</v>
      </c>
      <c r="B95" s="8" t="s">
        <v>3029</v>
      </c>
      <c r="C95" s="8" t="s">
        <v>3030</v>
      </c>
      <c r="D95" s="8" t="s">
        <v>2596</v>
      </c>
      <c r="E95" s="9" t="s">
        <v>2766</v>
      </c>
      <c r="F95" s="8" t="s">
        <v>2767</v>
      </c>
      <c r="G95" s="8" t="s">
        <v>786</v>
      </c>
      <c r="H95" s="8" t="s">
        <v>311</v>
      </c>
      <c r="I95" s="10">
        <v>519288</v>
      </c>
      <c r="J95" s="8" t="s">
        <v>2697</v>
      </c>
      <c r="K95" s="11" t="s">
        <v>3031</v>
      </c>
      <c r="L95" s="9" t="s">
        <v>2769</v>
      </c>
    </row>
    <row r="96" spans="1:12" ht="28.5">
      <c r="A96" s="7">
        <v>94</v>
      </c>
      <c r="B96" s="8" t="s">
        <v>3032</v>
      </c>
      <c r="C96" s="8" t="s">
        <v>3033</v>
      </c>
      <c r="D96" s="8" t="s">
        <v>3034</v>
      </c>
      <c r="E96" s="9" t="s">
        <v>2716</v>
      </c>
      <c r="F96" s="8" t="s">
        <v>2717</v>
      </c>
      <c r="G96" s="8" t="s">
        <v>786</v>
      </c>
      <c r="H96" s="8" t="s">
        <v>311</v>
      </c>
      <c r="I96" s="742">
        <v>822874</v>
      </c>
      <c r="J96" s="8" t="s">
        <v>2697</v>
      </c>
      <c r="K96" s="11" t="s">
        <v>3035</v>
      </c>
      <c r="L96" s="9" t="s">
        <v>2719</v>
      </c>
    </row>
    <row r="97" spans="1:12" ht="28.5">
      <c r="A97" s="7">
        <v>95</v>
      </c>
      <c r="B97" s="8" t="s">
        <v>3036</v>
      </c>
      <c r="C97" s="8" t="s">
        <v>3037</v>
      </c>
      <c r="D97" s="8" t="s">
        <v>2658</v>
      </c>
      <c r="E97" s="9" t="s">
        <v>2892</v>
      </c>
      <c r="F97" s="8" t="s">
        <v>903</v>
      </c>
      <c r="G97" s="8" t="s">
        <v>786</v>
      </c>
      <c r="H97" s="8" t="s">
        <v>296</v>
      </c>
      <c r="I97" s="742">
        <v>696256</v>
      </c>
      <c r="J97" s="8" t="s">
        <v>2697</v>
      </c>
      <c r="K97" s="11" t="s">
        <v>3038</v>
      </c>
      <c r="L97" s="9" t="s">
        <v>2725</v>
      </c>
    </row>
    <row r="98" spans="1:12" ht="15.75">
      <c r="A98" s="7">
        <v>96</v>
      </c>
      <c r="B98" s="8" t="s">
        <v>3039</v>
      </c>
      <c r="C98" s="8" t="s">
        <v>3040</v>
      </c>
      <c r="D98" s="8" t="s">
        <v>3041</v>
      </c>
      <c r="E98" s="9" t="s">
        <v>2695</v>
      </c>
      <c r="F98" s="8" t="s">
        <v>2696</v>
      </c>
      <c r="G98" s="8" t="s">
        <v>786</v>
      </c>
      <c r="H98" s="8" t="s">
        <v>296</v>
      </c>
      <c r="I98" s="742">
        <v>692</v>
      </c>
      <c r="J98" s="8" t="s">
        <v>2697</v>
      </c>
      <c r="K98" s="11" t="s">
        <v>3042</v>
      </c>
      <c r="L98" s="9" t="s">
        <v>2699</v>
      </c>
    </row>
    <row r="99" spans="1:12" ht="28.5">
      <c r="A99" s="7">
        <v>97</v>
      </c>
      <c r="B99" s="8" t="s">
        <v>3043</v>
      </c>
      <c r="C99" s="8" t="s">
        <v>3044</v>
      </c>
      <c r="D99" s="8" t="s">
        <v>3041</v>
      </c>
      <c r="E99" s="9" t="s">
        <v>2716</v>
      </c>
      <c r="F99" s="8" t="s">
        <v>2717</v>
      </c>
      <c r="G99" s="8" t="s">
        <v>786</v>
      </c>
      <c r="H99" s="8" t="s">
        <v>311</v>
      </c>
      <c r="I99" s="742">
        <v>823613</v>
      </c>
      <c r="J99" s="8" t="s">
        <v>2697</v>
      </c>
      <c r="K99" s="11" t="s">
        <v>3045</v>
      </c>
      <c r="L99" s="9" t="s">
        <v>2719</v>
      </c>
    </row>
    <row r="100" spans="1:12" ht="28.5" hidden="1">
      <c r="A100" s="7">
        <v>98</v>
      </c>
      <c r="B100" s="8" t="s">
        <v>3046</v>
      </c>
      <c r="C100" s="8" t="s">
        <v>3047</v>
      </c>
      <c r="D100" s="8" t="s">
        <v>2637</v>
      </c>
      <c r="E100" s="9" t="s">
        <v>2766</v>
      </c>
      <c r="F100" s="8" t="s">
        <v>2767</v>
      </c>
      <c r="G100" s="8" t="s">
        <v>786</v>
      </c>
      <c r="H100" s="8" t="s">
        <v>311</v>
      </c>
      <c r="I100" s="10">
        <v>59588</v>
      </c>
      <c r="J100" s="8" t="s">
        <v>2697</v>
      </c>
      <c r="K100" s="11" t="s">
        <v>3048</v>
      </c>
      <c r="L100" s="9" t="s">
        <v>2719</v>
      </c>
    </row>
    <row r="101" spans="1:12" ht="15.75">
      <c r="A101" s="7">
        <v>99</v>
      </c>
      <c r="B101" s="8" t="s">
        <v>3049</v>
      </c>
      <c r="C101" s="8" t="s">
        <v>3050</v>
      </c>
      <c r="D101" s="8" t="s">
        <v>2627</v>
      </c>
      <c r="E101" s="9" t="s">
        <v>2695</v>
      </c>
      <c r="F101" s="8" t="s">
        <v>2696</v>
      </c>
      <c r="G101" s="8" t="s">
        <v>786</v>
      </c>
      <c r="H101" s="8" t="s">
        <v>296</v>
      </c>
      <c r="I101" s="742">
        <v>2281</v>
      </c>
      <c r="J101" s="8" t="s">
        <v>2697</v>
      </c>
      <c r="K101" s="11" t="s">
        <v>3051</v>
      </c>
      <c r="L101" s="9" t="s">
        <v>3052</v>
      </c>
    </row>
    <row r="102" spans="1:12" ht="28.5">
      <c r="A102" s="7">
        <v>100</v>
      </c>
      <c r="B102" s="8" t="s">
        <v>3053</v>
      </c>
      <c r="C102" s="8" t="s">
        <v>3054</v>
      </c>
      <c r="D102" s="8" t="s">
        <v>2627</v>
      </c>
      <c r="E102" s="9" t="s">
        <v>2702</v>
      </c>
      <c r="F102" s="8" t="s">
        <v>2696</v>
      </c>
      <c r="G102" s="8" t="s">
        <v>831</v>
      </c>
      <c r="H102" s="8" t="s">
        <v>296</v>
      </c>
      <c r="I102" s="742">
        <v>45200</v>
      </c>
      <c r="J102" s="8" t="s">
        <v>2697</v>
      </c>
      <c r="K102" s="11" t="s">
        <v>3055</v>
      </c>
      <c r="L102" s="9" t="s">
        <v>2699</v>
      </c>
    </row>
    <row r="103" spans="1:12" s="3" customFormat="1" ht="20.45" hidden="1" customHeight="1">
      <c r="A103" s="1016" t="s">
        <v>3056</v>
      </c>
      <c r="B103" s="1016"/>
      <c r="C103" s="1016"/>
      <c r="D103" s="1016"/>
      <c r="E103" s="1017"/>
      <c r="F103" s="1016"/>
      <c r="G103" s="1016"/>
      <c r="H103" s="1016"/>
      <c r="I103" s="1016"/>
      <c r="J103" s="1016"/>
      <c r="K103" s="1016"/>
      <c r="L103" s="1018"/>
    </row>
    <row r="104" spans="1:12" hidden="1">
      <c r="I104" s="4">
        <v>24852378</v>
      </c>
    </row>
    <row r="106" spans="1:12" ht="14.25">
      <c r="J106" s="304"/>
      <c r="K106" s="304"/>
    </row>
    <row r="107" spans="1:12" ht="14.25">
      <c r="J107" s="304"/>
      <c r="K107" s="304"/>
    </row>
    <row r="108" spans="1:12" ht="14.25">
      <c r="J108" s="304"/>
      <c r="K108" s="304"/>
    </row>
    <row r="109" spans="1:12" ht="14.25">
      <c r="E109" s="5">
        <v>3820131</v>
      </c>
      <c r="J109" s="304"/>
      <c r="K109" s="304"/>
    </row>
    <row r="110" spans="1:12" ht="14.25">
      <c r="E110" s="5">
        <v>24852378</v>
      </c>
      <c r="J110" s="304"/>
      <c r="K110" s="304"/>
    </row>
    <row r="111" spans="1:12" ht="14.25">
      <c r="E111" s="5">
        <f>E109*7+E110</f>
        <v>51593295</v>
      </c>
      <c r="J111" s="304"/>
      <c r="K111" s="304"/>
    </row>
    <row r="112" spans="1:12" ht="14.25">
      <c r="J112" s="304"/>
      <c r="K112" s="304"/>
    </row>
    <row r="113" spans="10:11" ht="14.25">
      <c r="J113" s="304"/>
      <c r="K113" s="304"/>
    </row>
    <row r="114" spans="10:11" ht="14.25">
      <c r="J114" s="304"/>
      <c r="K114" s="304"/>
    </row>
    <row r="115" spans="10:11" ht="14.25">
      <c r="J115" s="304"/>
      <c r="K115" s="304"/>
    </row>
    <row r="116" spans="10:11" ht="14.25">
      <c r="J116" s="304"/>
      <c r="K116" s="304"/>
    </row>
    <row r="117" spans="10:11" ht="14.25">
      <c r="J117" s="304"/>
      <c r="K117" s="304"/>
    </row>
    <row r="118" spans="10:11" ht="14.25">
      <c r="J118" s="304"/>
      <c r="K118" s="304"/>
    </row>
    <row r="119" spans="10:11" ht="14.25">
      <c r="J119" s="304"/>
      <c r="K119" s="304"/>
    </row>
    <row r="120" spans="10:11" ht="14.25">
      <c r="J120" s="304"/>
      <c r="K120" s="304"/>
    </row>
    <row r="121" spans="10:11" ht="14.25">
      <c r="J121" s="304"/>
      <c r="K121" s="304"/>
    </row>
    <row r="122" spans="10:11" ht="14.25">
      <c r="J122" s="304"/>
      <c r="K122" s="304"/>
    </row>
    <row r="123" spans="10:11" ht="14.25">
      <c r="J123" s="304"/>
      <c r="K123" s="304"/>
    </row>
    <row r="124" spans="10:11" ht="14.25">
      <c r="J124" s="304"/>
      <c r="K124" s="304"/>
    </row>
    <row r="125" spans="10:11" ht="14.25">
      <c r="J125" s="304"/>
      <c r="K125" s="304"/>
    </row>
    <row r="126" spans="10:11" ht="14.25">
      <c r="J126" s="304"/>
      <c r="K126" s="304"/>
    </row>
    <row r="127" spans="10:11" ht="14.25">
      <c r="J127" s="304"/>
      <c r="K127" s="304"/>
    </row>
    <row r="128" spans="10:11" ht="14.25">
      <c r="J128" s="304"/>
      <c r="K128" s="304"/>
    </row>
    <row r="129" spans="10:11" ht="14.25">
      <c r="J129" s="304"/>
      <c r="K129" s="304"/>
    </row>
  </sheetData>
  <autoFilter ref="A2:L104">
    <filterColumn colId="4">
      <filters>
        <filter val="(JW)DONGFANG ELECTRONICS  CO LTD FIRST CROSS STREET"/>
        <filter val="(JW)DONGFANG ELECTRONICS CO LTD 162 NATIONAL MEDIA CENTRE"/>
        <filter val="(JW)DONGFANG ELECTRONICS PRIVATE LIMITED"/>
        <filter val="(JW)GRID VISION TD SDN BHD"/>
        <filter val="(JW)S.A.S.   A 2 E 1 T RUE LOUIS PASTEUR"/>
        <filter val="(JW)SAS A2E1 TER RUE LOUIS PASTEUR BP 8870400 HERICOURT FRANCE"/>
        <filter val="(JW)SAS A2E1 TER RUE LOUIS PASTEUR BP 8870400 HERICOURTFRANCE"/>
      </filters>
    </filterColumn>
  </autoFilter>
  <mergeCells count="2">
    <mergeCell ref="B1:L1"/>
    <mergeCell ref="A103:L103"/>
  </mergeCells>
  <phoneticPr fontId="92" type="noConversion"/>
  <pageMargins left="0.75" right="0.75" top="1" bottom="1" header="0.5" footer="0.5"/>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dimension ref="D2"/>
  <sheetViews>
    <sheetView workbookViewId="0">
      <selection activeCell="E19" sqref="E19"/>
    </sheetView>
  </sheetViews>
  <sheetFormatPr defaultRowHeight="13.5"/>
  <cols>
    <col min="4" max="4" width="9.25" bestFit="1" customWidth="1"/>
  </cols>
  <sheetData>
    <row r="2" spans="4:4">
      <c r="D2">
        <v>31584867</v>
      </c>
    </row>
  </sheetData>
  <phoneticPr fontId="92"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dimension ref="A1"/>
  <sheetViews>
    <sheetView workbookViewId="0">
      <selection activeCell="B43" sqref="B43"/>
    </sheetView>
  </sheetViews>
  <sheetFormatPr defaultRowHeight="13.5"/>
  <sheetData/>
  <phoneticPr fontId="92"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7"/>
  <dimension ref="F1:I14"/>
  <sheetViews>
    <sheetView workbookViewId="0">
      <selection activeCell="E19" sqref="E19"/>
    </sheetView>
  </sheetViews>
  <sheetFormatPr defaultRowHeight="13.5"/>
  <sheetData>
    <row r="1" spans="6:9">
      <c r="F1">
        <v>23</v>
      </c>
    </row>
    <row r="2" spans="6:9">
      <c r="F2">
        <v>190</v>
      </c>
      <c r="H2">
        <v>76</v>
      </c>
      <c r="I2" s="546">
        <v>318</v>
      </c>
    </row>
    <row r="3" spans="6:9">
      <c r="F3">
        <v>39</v>
      </c>
      <c r="H3">
        <v>17</v>
      </c>
      <c r="I3" s="546">
        <v>211</v>
      </c>
    </row>
    <row r="4" spans="6:9">
      <c r="F4">
        <v>119</v>
      </c>
      <c r="H4">
        <v>13</v>
      </c>
      <c r="I4" s="546">
        <v>248</v>
      </c>
    </row>
    <row r="5" spans="6:9">
      <c r="F5">
        <v>98</v>
      </c>
      <c r="H5">
        <v>18</v>
      </c>
      <c r="I5" s="546">
        <v>433</v>
      </c>
    </row>
    <row r="6" spans="6:9">
      <c r="F6">
        <v>120</v>
      </c>
      <c r="H6">
        <v>52</v>
      </c>
      <c r="I6" s="546">
        <v>323</v>
      </c>
    </row>
    <row r="7" spans="6:9">
      <c r="F7">
        <v>74</v>
      </c>
      <c r="H7">
        <f>SUM(H2:H6)</f>
        <v>176</v>
      </c>
      <c r="I7">
        <f>SUM(I2:I6)</f>
        <v>1533</v>
      </c>
    </row>
    <row r="8" spans="6:9">
      <c r="F8">
        <v>29</v>
      </c>
      <c r="H8">
        <f>H7*7</f>
        <v>1232</v>
      </c>
    </row>
    <row r="9" spans="6:9">
      <c r="F9">
        <v>69</v>
      </c>
    </row>
    <row r="10" spans="6:9">
      <c r="F10">
        <v>45</v>
      </c>
    </row>
    <row r="11" spans="6:9">
      <c r="F11">
        <v>94</v>
      </c>
    </row>
    <row r="12" spans="6:9">
      <c r="F12">
        <v>37</v>
      </c>
    </row>
    <row r="13" spans="6:9">
      <c r="F13">
        <v>58</v>
      </c>
    </row>
    <row r="14" spans="6:9">
      <c r="F14">
        <f>SUM(F1:F13)</f>
        <v>995</v>
      </c>
    </row>
  </sheetData>
  <phoneticPr fontId="92"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8"/>
  <dimension ref="F3:J38"/>
  <sheetViews>
    <sheetView topLeftCell="A22" zoomScaleNormal="100" workbookViewId="0">
      <selection activeCell="E19" sqref="E19"/>
    </sheetView>
  </sheetViews>
  <sheetFormatPr defaultRowHeight="13.5"/>
  <cols>
    <col min="10" max="10" width="21.375" customWidth="1"/>
    <col min="13" max="13" width="15" customWidth="1"/>
  </cols>
  <sheetData>
    <row r="3" spans="6:8">
      <c r="G3">
        <v>18</v>
      </c>
    </row>
    <row r="4" spans="6:8">
      <c r="G4">
        <v>26</v>
      </c>
    </row>
    <row r="5" spans="6:8">
      <c r="G5">
        <v>18</v>
      </c>
    </row>
    <row r="6" spans="6:8">
      <c r="G6">
        <v>25</v>
      </c>
    </row>
    <row r="7" spans="6:8">
      <c r="G7">
        <v>38</v>
      </c>
    </row>
    <row r="8" spans="6:8">
      <c r="G8">
        <v>25</v>
      </c>
    </row>
    <row r="9" spans="6:8">
      <c r="G9">
        <v>73</v>
      </c>
    </row>
    <row r="10" spans="6:8">
      <c r="G10">
        <v>52</v>
      </c>
    </row>
    <row r="11" spans="6:8">
      <c r="F11" s="395" t="s">
        <v>3521</v>
      </c>
      <c r="G11">
        <v>670</v>
      </c>
    </row>
    <row r="12" spans="6:8">
      <c r="F12" s="395"/>
      <c r="G12">
        <v>98</v>
      </c>
      <c r="H12" s="395"/>
    </row>
    <row r="13" spans="6:8">
      <c r="G13">
        <v>93</v>
      </c>
    </row>
    <row r="14" spans="6:8">
      <c r="G14">
        <v>69</v>
      </c>
    </row>
    <row r="15" spans="6:8">
      <c r="G15">
        <v>46</v>
      </c>
    </row>
    <row r="16" spans="6:8">
      <c r="G16" s="748">
        <v>116</v>
      </c>
    </row>
    <row r="17" spans="6:10">
      <c r="G17" s="748">
        <v>23</v>
      </c>
      <c r="H17" s="395"/>
    </row>
    <row r="18" spans="6:10">
      <c r="G18">
        <v>46</v>
      </c>
      <c r="H18" s="395" t="s">
        <v>3522</v>
      </c>
    </row>
    <row r="19" spans="6:10">
      <c r="G19">
        <v>23</v>
      </c>
    </row>
    <row r="20" spans="6:10">
      <c r="G20">
        <v>23</v>
      </c>
    </row>
    <row r="21" spans="6:10">
      <c r="F21" s="395" t="s">
        <v>3523</v>
      </c>
      <c r="G21">
        <v>15</v>
      </c>
    </row>
    <row r="22" spans="6:10">
      <c r="F22" s="395"/>
      <c r="G22">
        <v>47</v>
      </c>
      <c r="I22" s="395" t="s">
        <v>3524</v>
      </c>
      <c r="J22">
        <v>185</v>
      </c>
    </row>
    <row r="23" spans="6:10">
      <c r="F23" s="395"/>
      <c r="G23" s="395">
        <f>SUM(G3:G22)-G18</f>
        <v>1498</v>
      </c>
      <c r="J23">
        <v>88</v>
      </c>
    </row>
    <row r="24" spans="6:10">
      <c r="J24">
        <v>129</v>
      </c>
    </row>
    <row r="25" spans="6:10">
      <c r="I25" s="395" t="s">
        <v>3525</v>
      </c>
      <c r="J25">
        <v>94</v>
      </c>
    </row>
    <row r="26" spans="6:10">
      <c r="J26">
        <v>36</v>
      </c>
    </row>
    <row r="27" spans="6:10">
      <c r="I27" s="395" t="s">
        <v>3526</v>
      </c>
      <c r="J27">
        <v>98</v>
      </c>
    </row>
    <row r="28" spans="6:10">
      <c r="I28" s="395"/>
      <c r="J28">
        <v>37</v>
      </c>
    </row>
    <row r="29" spans="6:10">
      <c r="I29" s="395"/>
      <c r="J29">
        <v>22</v>
      </c>
    </row>
    <row r="30" spans="6:10">
      <c r="I30" s="395" t="s">
        <v>3527</v>
      </c>
      <c r="J30">
        <v>99</v>
      </c>
    </row>
    <row r="31" spans="6:10">
      <c r="I31" s="395" t="s">
        <v>3528</v>
      </c>
      <c r="J31">
        <v>47</v>
      </c>
    </row>
    <row r="32" spans="6:10">
      <c r="I32" s="395" t="s">
        <v>3529</v>
      </c>
      <c r="J32">
        <v>5</v>
      </c>
    </row>
    <row r="33" spans="7:10">
      <c r="J33">
        <v>10</v>
      </c>
    </row>
    <row r="34" spans="7:10">
      <c r="G34">
        <f>G32*7</f>
        <v>0</v>
      </c>
      <c r="J34">
        <v>1498</v>
      </c>
    </row>
    <row r="35" spans="7:10">
      <c r="J35">
        <f>SUM(J22:J34)</f>
        <v>2348</v>
      </c>
    </row>
    <row r="36" spans="7:10">
      <c r="J36">
        <f>J35*7</f>
        <v>16436</v>
      </c>
    </row>
    <row r="37" spans="7:10">
      <c r="J37">
        <v>17028.8</v>
      </c>
    </row>
    <row r="38" spans="7:10">
      <c r="J38">
        <f>J37-J36</f>
        <v>592.79999999999927</v>
      </c>
    </row>
  </sheetData>
  <phoneticPr fontId="92"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9"/>
  <dimension ref="H4:H10"/>
  <sheetViews>
    <sheetView workbookViewId="0">
      <selection activeCell="E19" sqref="E19"/>
    </sheetView>
  </sheetViews>
  <sheetFormatPr defaultRowHeight="13.5"/>
  <sheetData>
    <row r="4" spans="8:8">
      <c r="H4">
        <v>415</v>
      </c>
    </row>
    <row r="5" spans="8:8">
      <c r="H5">
        <v>185</v>
      </c>
    </row>
    <row r="6" spans="8:8">
      <c r="H6">
        <v>195</v>
      </c>
    </row>
    <row r="7" spans="8:8">
      <c r="H7">
        <v>152</v>
      </c>
    </row>
    <row r="8" spans="8:8">
      <c r="H8">
        <v>290</v>
      </c>
    </row>
    <row r="9" spans="8:8">
      <c r="H9">
        <f>SUM(H4:H8)</f>
        <v>1237</v>
      </c>
    </row>
    <row r="10" spans="8:8">
      <c r="H10">
        <f>H9*8</f>
        <v>9896</v>
      </c>
    </row>
  </sheetData>
  <phoneticPr fontId="92" type="noConversion"/>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0"/>
  <dimension ref="F2:F19"/>
  <sheetViews>
    <sheetView workbookViewId="0">
      <selection activeCell="E19" sqref="E19"/>
    </sheetView>
  </sheetViews>
  <sheetFormatPr defaultRowHeight="13.5"/>
  <cols>
    <col min="5" max="5" width="18.5" customWidth="1"/>
  </cols>
  <sheetData>
    <row r="2" spans="6:6">
      <c r="F2">
        <v>3201</v>
      </c>
    </row>
    <row r="3" spans="6:6">
      <c r="F3">
        <v>1105</v>
      </c>
    </row>
    <row r="4" spans="6:6">
      <c r="F4">
        <v>511</v>
      </c>
    </row>
    <row r="5" spans="6:6">
      <c r="F5">
        <v>310</v>
      </c>
    </row>
    <row r="6" spans="6:6">
      <c r="F6">
        <v>590</v>
      </c>
    </row>
    <row r="7" spans="6:6">
      <c r="F7">
        <v>367</v>
      </c>
    </row>
    <row r="8" spans="6:6">
      <c r="F8">
        <v>11</v>
      </c>
    </row>
    <row r="9" spans="6:6">
      <c r="F9">
        <v>12</v>
      </c>
    </row>
    <row r="10" spans="6:6">
      <c r="F10">
        <v>6</v>
      </c>
    </row>
    <row r="11" spans="6:6">
      <c r="F11">
        <v>5</v>
      </c>
    </row>
    <row r="12" spans="6:6">
      <c r="F12">
        <v>3</v>
      </c>
    </row>
    <row r="13" spans="6:6">
      <c r="F13">
        <v>2</v>
      </c>
    </row>
    <row r="14" spans="6:6">
      <c r="F14">
        <v>1</v>
      </c>
    </row>
    <row r="15" spans="6:6">
      <c r="F15">
        <v>1</v>
      </c>
    </row>
    <row r="16" spans="6:6">
      <c r="F16">
        <v>1</v>
      </c>
    </row>
    <row r="17" spans="6:6">
      <c r="F17">
        <v>2</v>
      </c>
    </row>
    <row r="18" spans="6:6">
      <c r="F18">
        <f>SUM(F2:F17)</f>
        <v>6128</v>
      </c>
    </row>
    <row r="19" spans="6:6">
      <c r="F19">
        <f>F18*7</f>
        <v>42896</v>
      </c>
    </row>
  </sheetData>
  <phoneticPr fontId="92"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S16"/>
  <sheetViews>
    <sheetView workbookViewId="0">
      <pane xSplit="3" topLeftCell="L1" activePane="topRight" state="frozen"/>
      <selection activeCell="E19" sqref="E19"/>
      <selection pane="topRight" activeCell="E19" sqref="E19"/>
    </sheetView>
  </sheetViews>
  <sheetFormatPr defaultColWidth="8.875" defaultRowHeight="13.5"/>
  <cols>
    <col min="2" max="2" width="31.5" customWidth="1"/>
    <col min="4" max="14" width="20.875" customWidth="1"/>
    <col min="15" max="15" width="11.5" customWidth="1"/>
    <col min="16" max="17" width="10" customWidth="1"/>
    <col min="18" max="18" width="10.125" customWidth="1"/>
    <col min="19" max="19" width="12.5" customWidth="1"/>
  </cols>
  <sheetData>
    <row r="1" spans="1:19">
      <c r="B1" s="779" t="s">
        <v>32</v>
      </c>
      <c r="C1" s="779"/>
      <c r="D1" s="772"/>
      <c r="E1" s="772"/>
      <c r="F1" s="772"/>
      <c r="G1" s="772"/>
      <c r="H1" s="772"/>
      <c r="I1" s="772"/>
      <c r="J1" s="772"/>
      <c r="K1" s="772"/>
      <c r="L1" s="772"/>
      <c r="M1" s="772"/>
      <c r="N1" s="772"/>
      <c r="O1" s="772"/>
      <c r="P1" s="772"/>
      <c r="Q1" s="772"/>
      <c r="R1" s="772"/>
      <c r="S1" s="772"/>
    </row>
    <row r="2" spans="1:19">
      <c r="B2" s="772"/>
      <c r="C2" s="772"/>
      <c r="D2" s="772"/>
      <c r="E2" s="772"/>
      <c r="F2" s="772"/>
      <c r="G2" s="772"/>
      <c r="H2" s="772"/>
      <c r="I2" s="772"/>
      <c r="J2" s="772"/>
      <c r="K2" s="772"/>
      <c r="L2" s="772"/>
      <c r="M2" s="772"/>
      <c r="N2" s="772"/>
      <c r="O2" s="772"/>
      <c r="P2" s="772"/>
      <c r="Q2" s="772"/>
      <c r="R2" s="772"/>
      <c r="S2" s="772"/>
    </row>
    <row r="3" spans="1:19">
      <c r="B3" s="772"/>
      <c r="C3" s="772"/>
      <c r="D3" s="772"/>
      <c r="E3" s="772"/>
      <c r="F3" s="772"/>
      <c r="G3" s="772"/>
      <c r="H3" s="772"/>
      <c r="I3" s="772"/>
      <c r="J3" s="772"/>
      <c r="K3" s="772"/>
      <c r="L3" s="772"/>
      <c r="M3" s="772"/>
      <c r="N3" s="772"/>
      <c r="O3" s="772"/>
      <c r="P3" s="772"/>
      <c r="Q3" s="772"/>
      <c r="R3" s="772"/>
      <c r="S3" s="772"/>
    </row>
    <row r="4" spans="1:19" ht="45.95" customHeight="1">
      <c r="B4" s="782" t="s">
        <v>2</v>
      </c>
      <c r="C4" s="783" t="s">
        <v>18</v>
      </c>
      <c r="D4" s="344" t="s">
        <v>3</v>
      </c>
      <c r="E4" s="793" t="s">
        <v>4</v>
      </c>
      <c r="F4" s="793"/>
      <c r="G4" s="793"/>
      <c r="H4" s="793"/>
      <c r="I4" s="793"/>
      <c r="J4" s="793"/>
      <c r="K4" s="794" t="s">
        <v>5</v>
      </c>
      <c r="L4" s="794"/>
      <c r="M4" s="794"/>
      <c r="N4" s="346" t="s">
        <v>6</v>
      </c>
      <c r="O4" s="789" t="s">
        <v>11</v>
      </c>
      <c r="P4" s="792" t="s">
        <v>3193</v>
      </c>
      <c r="Q4" s="792" t="s">
        <v>3194</v>
      </c>
      <c r="R4" s="777" t="s">
        <v>12</v>
      </c>
      <c r="S4" s="778" t="s">
        <v>13</v>
      </c>
    </row>
    <row r="5" spans="1:19" ht="42" customHeight="1">
      <c r="B5" s="782"/>
      <c r="C5" s="797"/>
      <c r="D5" s="788" t="s">
        <v>33</v>
      </c>
      <c r="E5" s="788" t="s">
        <v>34</v>
      </c>
      <c r="F5" s="788" t="s">
        <v>35</v>
      </c>
      <c r="G5" s="786" t="s">
        <v>36</v>
      </c>
      <c r="H5" s="786" t="s">
        <v>37</v>
      </c>
      <c r="I5" s="786" t="s">
        <v>38</v>
      </c>
      <c r="J5" s="788" t="s">
        <v>39</v>
      </c>
      <c r="K5" s="347" t="s">
        <v>40</v>
      </c>
      <c r="L5" s="347" t="s">
        <v>41</v>
      </c>
      <c r="M5" s="786" t="s">
        <v>42</v>
      </c>
      <c r="N5" s="786" t="s">
        <v>43</v>
      </c>
      <c r="O5" s="790"/>
      <c r="P5" s="790"/>
      <c r="Q5" s="790"/>
      <c r="R5" s="777"/>
      <c r="S5" s="778"/>
    </row>
    <row r="6" spans="1:19" ht="59.1" customHeight="1">
      <c r="B6" s="782"/>
      <c r="C6" s="784"/>
      <c r="D6" s="788"/>
      <c r="E6" s="788"/>
      <c r="F6" s="788"/>
      <c r="G6" s="787"/>
      <c r="H6" s="787"/>
      <c r="I6" s="787"/>
      <c r="J6" s="788"/>
      <c r="K6" s="795" t="s">
        <v>44</v>
      </c>
      <c r="L6" s="796"/>
      <c r="M6" s="787"/>
      <c r="N6" s="787"/>
      <c r="O6" s="791"/>
      <c r="P6" s="791"/>
      <c r="Q6" s="791"/>
      <c r="R6" s="777"/>
      <c r="S6" s="778"/>
    </row>
    <row r="7" spans="1:19" ht="27">
      <c r="A7" s="422">
        <v>54</v>
      </c>
      <c r="B7" s="457" t="s">
        <v>3321</v>
      </c>
      <c r="C7" s="345" t="s">
        <v>129</v>
      </c>
      <c r="D7" s="345" t="s">
        <v>75</v>
      </c>
      <c r="E7" s="345" t="s">
        <v>75</v>
      </c>
      <c r="F7" s="345" t="s">
        <v>75</v>
      </c>
      <c r="G7" s="345" t="s">
        <v>75</v>
      </c>
      <c r="H7" s="345" t="s">
        <v>75</v>
      </c>
      <c r="I7" s="345" t="s">
        <v>75</v>
      </c>
      <c r="J7" s="345"/>
      <c r="K7" s="345" t="s">
        <v>75</v>
      </c>
      <c r="L7" s="345" t="s">
        <v>75</v>
      </c>
      <c r="M7" s="345"/>
      <c r="N7" s="345"/>
      <c r="O7" s="345">
        <v>45.5</v>
      </c>
      <c r="P7" s="345">
        <v>5.5</v>
      </c>
      <c r="Q7" s="345">
        <v>40</v>
      </c>
      <c r="R7" s="70" t="s">
        <v>3191</v>
      </c>
      <c r="S7" s="450" t="s">
        <v>3192</v>
      </c>
    </row>
    <row r="8" spans="1:19">
      <c r="B8" s="345"/>
      <c r="C8" s="345"/>
      <c r="D8" s="345"/>
      <c r="E8" s="345"/>
      <c r="F8" s="345"/>
      <c r="G8" s="345"/>
      <c r="H8" s="345"/>
      <c r="I8" s="345"/>
      <c r="J8" s="345"/>
      <c r="K8" s="345"/>
      <c r="L8" s="345"/>
      <c r="M8" s="345"/>
      <c r="N8" s="345"/>
      <c r="O8" s="345"/>
      <c r="P8" s="345"/>
      <c r="Q8" s="345"/>
      <c r="R8" s="345"/>
      <c r="S8" s="345"/>
    </row>
    <row r="9" spans="1:19">
      <c r="B9" s="345"/>
      <c r="C9" s="345"/>
      <c r="D9" s="345"/>
      <c r="E9" s="345"/>
      <c r="F9" s="345"/>
      <c r="G9" s="345"/>
      <c r="H9" s="345"/>
      <c r="I9" s="345"/>
      <c r="J9" s="345"/>
      <c r="K9" s="345"/>
      <c r="L9" s="345"/>
      <c r="M9" s="345"/>
      <c r="N9" s="345"/>
      <c r="O9" s="345"/>
      <c r="P9" s="345"/>
      <c r="Q9" s="345"/>
      <c r="R9" s="345"/>
      <c r="S9" s="345"/>
    </row>
    <row r="10" spans="1:19">
      <c r="B10" s="345"/>
      <c r="C10" s="345"/>
      <c r="D10" s="345"/>
      <c r="E10" s="345"/>
      <c r="F10" s="345"/>
      <c r="G10" s="345"/>
      <c r="H10" s="345"/>
      <c r="I10" s="345"/>
      <c r="J10" s="345"/>
      <c r="K10" s="345"/>
      <c r="L10" s="345"/>
      <c r="M10" s="345"/>
      <c r="N10" s="345"/>
      <c r="O10" s="345"/>
      <c r="P10" s="345"/>
      <c r="Q10" s="345"/>
      <c r="R10" s="345"/>
      <c r="S10" s="345"/>
    </row>
    <row r="11" spans="1:19">
      <c r="B11" s="345"/>
      <c r="C11" s="345"/>
      <c r="D11" s="345"/>
      <c r="E11" s="345"/>
      <c r="F11" s="345"/>
      <c r="G11" s="345"/>
      <c r="H11" s="345"/>
      <c r="I11" s="345"/>
      <c r="J11" s="345"/>
      <c r="K11" s="345"/>
      <c r="L11" s="345"/>
      <c r="M11" s="345"/>
      <c r="N11" s="345"/>
      <c r="O11" s="345"/>
      <c r="P11" s="345"/>
      <c r="Q11" s="345"/>
      <c r="R11" s="345"/>
      <c r="S11" s="345"/>
    </row>
    <row r="12" spans="1:19">
      <c r="B12" s="345"/>
      <c r="C12" s="345"/>
      <c r="D12" s="345"/>
      <c r="E12" s="345"/>
      <c r="F12" s="345"/>
      <c r="G12" s="345"/>
      <c r="H12" s="345"/>
      <c r="I12" s="345"/>
      <c r="J12" s="345"/>
      <c r="K12" s="345"/>
      <c r="L12" s="345"/>
      <c r="M12" s="345"/>
      <c r="N12" s="345"/>
      <c r="O12" s="345"/>
      <c r="P12" s="345"/>
      <c r="Q12" s="345"/>
      <c r="R12" s="345"/>
      <c r="S12" s="345"/>
    </row>
    <row r="13" spans="1:19">
      <c r="B13" s="345"/>
      <c r="C13" s="345"/>
      <c r="D13" s="345"/>
      <c r="E13" s="345"/>
      <c r="F13" s="345"/>
      <c r="G13" s="345"/>
      <c r="H13" s="345"/>
      <c r="I13" s="345"/>
      <c r="J13" s="345"/>
      <c r="K13" s="345"/>
      <c r="L13" s="345"/>
      <c r="M13" s="345"/>
      <c r="N13" s="345"/>
      <c r="O13" s="345"/>
      <c r="P13" s="345"/>
      <c r="Q13" s="345"/>
      <c r="R13" s="345"/>
      <c r="S13" s="345"/>
    </row>
    <row r="14" spans="1:19">
      <c r="B14" s="345"/>
      <c r="C14" s="345"/>
      <c r="D14" s="345"/>
      <c r="E14" s="345"/>
      <c r="F14" s="345"/>
      <c r="G14" s="345"/>
      <c r="H14" s="345"/>
      <c r="I14" s="345"/>
      <c r="J14" s="345"/>
      <c r="K14" s="345"/>
      <c r="L14" s="345"/>
      <c r="M14" s="345"/>
      <c r="N14" s="345"/>
      <c r="O14" s="345"/>
      <c r="P14" s="345"/>
      <c r="Q14" s="345"/>
      <c r="R14" s="345"/>
      <c r="S14" s="345"/>
    </row>
    <row r="15" spans="1:19">
      <c r="B15" s="345"/>
      <c r="C15" s="345"/>
      <c r="D15" s="345"/>
      <c r="E15" s="345"/>
      <c r="F15" s="345"/>
      <c r="G15" s="345"/>
      <c r="H15" s="345"/>
      <c r="I15" s="345"/>
      <c r="J15" s="345"/>
      <c r="K15" s="345"/>
      <c r="L15" s="345"/>
      <c r="M15" s="345"/>
      <c r="N15" s="345"/>
      <c r="O15" s="345"/>
      <c r="P15" s="345"/>
      <c r="Q15" s="345"/>
      <c r="R15" s="345"/>
      <c r="S15" s="345"/>
    </row>
    <row r="16" spans="1:19">
      <c r="B16" s="345"/>
      <c r="C16" s="345"/>
      <c r="D16" s="345"/>
      <c r="E16" s="345"/>
      <c r="F16" s="345"/>
      <c r="G16" s="345"/>
      <c r="H16" s="345"/>
      <c r="I16" s="345"/>
      <c r="J16" s="345"/>
      <c r="K16" s="345"/>
      <c r="L16" s="345"/>
      <c r="M16" s="345"/>
      <c r="N16" s="345"/>
      <c r="O16" s="345"/>
      <c r="P16" s="345"/>
      <c r="Q16" s="345"/>
      <c r="R16" s="345"/>
      <c r="S16" s="345"/>
    </row>
  </sheetData>
  <mergeCells count="20">
    <mergeCell ref="E5:E6"/>
    <mergeCell ref="F5:F6"/>
    <mergeCell ref="G5:G6"/>
    <mergeCell ref="H5:H6"/>
    <mergeCell ref="I5:I6"/>
    <mergeCell ref="J5:J6"/>
    <mergeCell ref="M5:M6"/>
    <mergeCell ref="S4:S6"/>
    <mergeCell ref="B1:S3"/>
    <mergeCell ref="N5:N6"/>
    <mergeCell ref="O4:O6"/>
    <mergeCell ref="P4:P6"/>
    <mergeCell ref="Q4:Q6"/>
    <mergeCell ref="R4:R6"/>
    <mergeCell ref="E4:J4"/>
    <mergeCell ref="K4:M4"/>
    <mergeCell ref="K6:L6"/>
    <mergeCell ref="B4:B6"/>
    <mergeCell ref="C4:C6"/>
    <mergeCell ref="D5:D6"/>
  </mergeCells>
  <phoneticPr fontId="92" type="noConversion"/>
  <hyperlinks>
    <hyperlink ref="C1:J2" location="目录!A1" display="目录!A1"/>
  </hyperlink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1" filterMode="1"/>
  <dimension ref="A1:N465"/>
  <sheetViews>
    <sheetView topLeftCell="A427" workbookViewId="0">
      <selection activeCell="F463" sqref="F463"/>
    </sheetView>
  </sheetViews>
  <sheetFormatPr defaultColWidth="9" defaultRowHeight="16.5"/>
  <cols>
    <col min="1" max="1" width="4.5" style="684" customWidth="1"/>
    <col min="2" max="2" width="11.875" style="681" customWidth="1"/>
    <col min="3" max="3" width="34.25" style="683" customWidth="1"/>
    <col min="4" max="4" width="15.625" style="682" customWidth="1"/>
    <col min="5" max="5" width="9" style="681"/>
    <col min="6" max="6" width="18.125" style="681" customWidth="1"/>
    <col min="7" max="7" width="28.25" style="682" customWidth="1"/>
    <col min="8" max="16384" width="9" style="681"/>
  </cols>
  <sheetData>
    <row r="1" spans="1:14" s="712" customFormat="1" ht="24" customHeight="1">
      <c r="A1" s="720"/>
      <c r="B1" s="719"/>
      <c r="C1" s="1021" t="s">
        <v>3511</v>
      </c>
      <c r="D1" s="1021"/>
      <c r="E1" s="1021"/>
      <c r="F1" s="1021"/>
      <c r="G1" s="718"/>
      <c r="H1" s="713"/>
      <c r="I1" s="713"/>
      <c r="J1" s="713"/>
      <c r="K1" s="713"/>
      <c r="L1" s="713"/>
      <c r="M1" s="713"/>
      <c r="N1" s="713"/>
    </row>
    <row r="2" spans="1:14" s="712" customFormat="1" ht="24" customHeight="1">
      <c r="A2" s="716" t="s">
        <v>3510</v>
      </c>
      <c r="B2" s="716" t="s">
        <v>3509</v>
      </c>
      <c r="C2" s="717" t="s">
        <v>3508</v>
      </c>
      <c r="D2" s="714" t="s">
        <v>3507</v>
      </c>
      <c r="E2" s="716" t="s">
        <v>3506</v>
      </c>
      <c r="F2" s="715" t="s">
        <v>3505</v>
      </c>
      <c r="G2" s="714" t="s">
        <v>3504</v>
      </c>
      <c r="H2" s="713"/>
      <c r="I2" s="713"/>
      <c r="J2" s="713"/>
      <c r="K2" s="713"/>
      <c r="L2" s="713"/>
      <c r="M2" s="713"/>
      <c r="N2" s="713"/>
    </row>
    <row r="3" spans="1:14" hidden="1">
      <c r="A3" s="699">
        <v>1</v>
      </c>
      <c r="B3" s="702">
        <v>43647</v>
      </c>
      <c r="C3" s="708" t="s">
        <v>3482</v>
      </c>
      <c r="D3" s="700">
        <v>2370.5</v>
      </c>
      <c r="E3" s="1020">
        <v>2019.07</v>
      </c>
      <c r="F3" s="1019">
        <f>SUM(D3:D43)</f>
        <v>12550055.840000002</v>
      </c>
      <c r="G3" s="700">
        <v>1303.7750000000001</v>
      </c>
    </row>
    <row r="4" spans="1:14" hidden="1">
      <c r="A4" s="699">
        <v>2</v>
      </c>
      <c r="B4" s="709">
        <v>43647</v>
      </c>
      <c r="C4" s="708" t="s">
        <v>3471</v>
      </c>
      <c r="D4" s="707">
        <v>2938959</v>
      </c>
      <c r="E4" s="1020"/>
      <c r="F4" s="1020"/>
      <c r="G4" s="700">
        <v>1616427.45</v>
      </c>
    </row>
    <row r="5" spans="1:14">
      <c r="A5" s="699">
        <v>3</v>
      </c>
      <c r="B5" s="705">
        <v>43647</v>
      </c>
      <c r="C5" s="704" t="s">
        <v>3489</v>
      </c>
      <c r="D5" s="703">
        <v>319285</v>
      </c>
      <c r="E5" s="1020"/>
      <c r="F5" s="1020"/>
      <c r="G5" s="700">
        <v>175606.75</v>
      </c>
    </row>
    <row r="6" spans="1:14" hidden="1">
      <c r="A6" s="699">
        <v>4</v>
      </c>
      <c r="B6" s="702">
        <v>43648</v>
      </c>
      <c r="C6" s="701" t="s">
        <v>3490</v>
      </c>
      <c r="D6" s="700">
        <v>8253.92</v>
      </c>
      <c r="E6" s="1020"/>
      <c r="F6" s="1020"/>
      <c r="G6" s="700">
        <v>4539.6559999999999</v>
      </c>
    </row>
    <row r="7" spans="1:14">
      <c r="A7" s="699">
        <v>5</v>
      </c>
      <c r="B7" s="705">
        <v>43648</v>
      </c>
      <c r="C7" s="704" t="s">
        <v>3472</v>
      </c>
      <c r="D7" s="703">
        <v>91979.6</v>
      </c>
      <c r="E7" s="1020"/>
      <c r="F7" s="1020"/>
      <c r="G7" s="700">
        <v>50588.78</v>
      </c>
    </row>
    <row r="8" spans="1:14">
      <c r="A8" s="699">
        <v>6</v>
      </c>
      <c r="B8" s="705">
        <v>43648</v>
      </c>
      <c r="C8" s="704" t="s">
        <v>3474</v>
      </c>
      <c r="D8" s="711">
        <v>247100.6</v>
      </c>
      <c r="E8" s="1020"/>
      <c r="F8" s="1020"/>
      <c r="G8" s="698">
        <v>135905.32999999999</v>
      </c>
    </row>
    <row r="9" spans="1:14" hidden="1">
      <c r="A9" s="699">
        <v>7</v>
      </c>
      <c r="B9" s="702">
        <v>43650</v>
      </c>
      <c r="C9" s="701" t="s">
        <v>3483</v>
      </c>
      <c r="D9" s="700">
        <v>160694.51</v>
      </c>
      <c r="E9" s="1020"/>
      <c r="F9" s="1020"/>
      <c r="G9" s="700">
        <v>88381.980500000005</v>
      </c>
    </row>
    <row r="10" spans="1:14">
      <c r="A10" s="699">
        <v>8</v>
      </c>
      <c r="B10" s="705">
        <v>43651</v>
      </c>
      <c r="C10" s="704" t="s">
        <v>3472</v>
      </c>
      <c r="D10" s="711">
        <v>106874.85</v>
      </c>
      <c r="E10" s="1020"/>
      <c r="F10" s="1020"/>
      <c r="G10" s="698">
        <v>58781.167500000003</v>
      </c>
    </row>
    <row r="11" spans="1:14" hidden="1">
      <c r="A11" s="699">
        <v>9</v>
      </c>
      <c r="B11" s="702">
        <v>43655</v>
      </c>
      <c r="C11" s="701" t="s">
        <v>3480</v>
      </c>
      <c r="D11" s="700">
        <v>4240.22</v>
      </c>
      <c r="E11" s="1020"/>
      <c r="F11" s="1020"/>
      <c r="G11" s="700">
        <v>2332.1210000000001</v>
      </c>
    </row>
    <row r="12" spans="1:14">
      <c r="A12" s="699">
        <v>10</v>
      </c>
      <c r="B12" s="705">
        <v>43655</v>
      </c>
      <c r="C12" s="704" t="s">
        <v>3474</v>
      </c>
      <c r="D12" s="703">
        <v>141277.85999999999</v>
      </c>
      <c r="E12" s="1020"/>
      <c r="F12" s="1020"/>
      <c r="G12" s="700">
        <v>77702.823000000004</v>
      </c>
    </row>
    <row r="13" spans="1:14">
      <c r="A13" s="699">
        <v>11</v>
      </c>
      <c r="B13" s="705">
        <v>43655</v>
      </c>
      <c r="C13" s="704" t="s">
        <v>3472</v>
      </c>
      <c r="D13" s="703">
        <v>106139.4</v>
      </c>
      <c r="E13" s="1020"/>
      <c r="F13" s="1020"/>
      <c r="G13" s="700">
        <v>58376.67</v>
      </c>
    </row>
    <row r="14" spans="1:14">
      <c r="A14" s="699">
        <v>12</v>
      </c>
      <c r="B14" s="705">
        <v>43656</v>
      </c>
      <c r="C14" s="704" t="s">
        <v>3474</v>
      </c>
      <c r="D14" s="703">
        <v>3880</v>
      </c>
      <c r="E14" s="1020"/>
      <c r="F14" s="1020"/>
      <c r="G14" s="700">
        <v>2134</v>
      </c>
      <c r="J14" s="681">
        <v>3600</v>
      </c>
    </row>
    <row r="15" spans="1:14" hidden="1">
      <c r="A15" s="699">
        <v>13</v>
      </c>
      <c r="B15" s="702">
        <v>43657</v>
      </c>
      <c r="C15" s="701" t="s">
        <v>3483</v>
      </c>
      <c r="D15" s="700">
        <v>66237.48</v>
      </c>
      <c r="E15" s="1020"/>
      <c r="F15" s="1020"/>
      <c r="G15" s="700">
        <v>36430.614000000001</v>
      </c>
    </row>
    <row r="16" spans="1:14">
      <c r="A16" s="699">
        <v>14</v>
      </c>
      <c r="B16" s="705">
        <v>43657</v>
      </c>
      <c r="C16" s="704" t="s">
        <v>3472</v>
      </c>
      <c r="D16" s="703">
        <v>108625.51</v>
      </c>
      <c r="E16" s="1020"/>
      <c r="F16" s="1020"/>
      <c r="G16" s="700">
        <v>59744.030500000001</v>
      </c>
      <c r="J16" s="681">
        <v>3241</v>
      </c>
    </row>
    <row r="17" spans="1:10">
      <c r="A17" s="699">
        <v>15</v>
      </c>
      <c r="B17" s="705">
        <v>43658</v>
      </c>
      <c r="C17" s="704" t="s">
        <v>3474</v>
      </c>
      <c r="D17" s="703">
        <v>86024.85</v>
      </c>
      <c r="E17" s="1020"/>
      <c r="F17" s="1020"/>
      <c r="G17" s="700">
        <v>47313.667500000003</v>
      </c>
      <c r="J17" s="681">
        <f>J14+J16</f>
        <v>6841</v>
      </c>
    </row>
    <row r="18" spans="1:10" hidden="1">
      <c r="A18" s="699">
        <v>16</v>
      </c>
      <c r="B18" s="702">
        <v>43661</v>
      </c>
      <c r="C18" s="701" t="s">
        <v>3483</v>
      </c>
      <c r="D18" s="700">
        <v>18565.5</v>
      </c>
      <c r="E18" s="1020"/>
      <c r="F18" s="1020"/>
      <c r="G18" s="700">
        <v>10211.025</v>
      </c>
    </row>
    <row r="19" spans="1:10">
      <c r="A19" s="699">
        <v>17</v>
      </c>
      <c r="B19" s="705">
        <v>43662</v>
      </c>
      <c r="C19" s="704" t="s">
        <v>3472</v>
      </c>
      <c r="D19" s="703">
        <v>92749.03</v>
      </c>
      <c r="E19" s="1020"/>
      <c r="F19" s="1020"/>
      <c r="G19" s="706">
        <v>51011.966500000002</v>
      </c>
    </row>
    <row r="20" spans="1:10">
      <c r="A20" s="699">
        <v>18</v>
      </c>
      <c r="B20" s="705">
        <v>43663</v>
      </c>
      <c r="C20" s="704" t="s">
        <v>3474</v>
      </c>
      <c r="D20" s="703">
        <v>133552.51999999999</v>
      </c>
      <c r="E20" s="1020"/>
      <c r="F20" s="1020"/>
      <c r="G20" s="706">
        <v>73453.885999999999</v>
      </c>
      <c r="J20" s="681">
        <v>11967</v>
      </c>
    </row>
    <row r="21" spans="1:10" hidden="1">
      <c r="A21" s="699">
        <v>19</v>
      </c>
      <c r="B21" s="702">
        <v>43664</v>
      </c>
      <c r="C21" s="701" t="s">
        <v>3483</v>
      </c>
      <c r="D21" s="706">
        <v>21925.599999999999</v>
      </c>
      <c r="E21" s="1020"/>
      <c r="F21" s="1020"/>
      <c r="G21" s="706">
        <v>12059.08</v>
      </c>
    </row>
    <row r="22" spans="1:10">
      <c r="A22" s="699">
        <v>20</v>
      </c>
      <c r="B22" s="705">
        <v>43665</v>
      </c>
      <c r="C22" s="704" t="s">
        <v>3472</v>
      </c>
      <c r="D22" s="703">
        <v>101172.23</v>
      </c>
      <c r="E22" s="1020"/>
      <c r="F22" s="1020"/>
      <c r="G22" s="706">
        <v>55644.726499999997</v>
      </c>
      <c r="J22" s="681">
        <f>J20-J17</f>
        <v>5126</v>
      </c>
    </row>
    <row r="23" spans="1:10" hidden="1">
      <c r="A23" s="699">
        <v>21</v>
      </c>
      <c r="B23" s="702">
        <v>43665</v>
      </c>
      <c r="C23" s="701" t="s">
        <v>3483</v>
      </c>
      <c r="D23" s="706">
        <v>48599.13</v>
      </c>
      <c r="E23" s="1020"/>
      <c r="F23" s="1020"/>
      <c r="G23" s="706">
        <v>26729.521499999999</v>
      </c>
    </row>
    <row r="24" spans="1:10" hidden="1">
      <c r="A24" s="699">
        <v>22</v>
      </c>
      <c r="B24" s="702">
        <v>43665</v>
      </c>
      <c r="C24" s="701" t="s">
        <v>3481</v>
      </c>
      <c r="D24" s="706">
        <v>15969.6</v>
      </c>
      <c r="E24" s="1020"/>
      <c r="F24" s="1020"/>
      <c r="G24" s="706">
        <v>8783.2800000000007</v>
      </c>
    </row>
    <row r="25" spans="1:10" hidden="1">
      <c r="A25" s="699">
        <v>23</v>
      </c>
      <c r="B25" s="702">
        <v>43668</v>
      </c>
      <c r="C25" s="701" t="s">
        <v>3480</v>
      </c>
      <c r="D25" s="706">
        <v>8489.8799999999992</v>
      </c>
      <c r="E25" s="1020"/>
      <c r="F25" s="1020"/>
      <c r="G25" s="706">
        <v>4669.4340000000002</v>
      </c>
    </row>
    <row r="26" spans="1:10" hidden="1">
      <c r="A26" s="699">
        <v>24</v>
      </c>
      <c r="B26" s="709">
        <v>43668</v>
      </c>
      <c r="C26" s="708" t="s">
        <v>3479</v>
      </c>
      <c r="D26" s="707">
        <v>2923552.87</v>
      </c>
      <c r="E26" s="1020"/>
      <c r="F26" s="1020"/>
      <c r="G26" s="700">
        <v>1607954.0785000001</v>
      </c>
    </row>
    <row r="27" spans="1:10" hidden="1">
      <c r="A27" s="699">
        <v>25</v>
      </c>
      <c r="B27" s="702">
        <v>43668</v>
      </c>
      <c r="C27" s="701" t="s">
        <v>3498</v>
      </c>
      <c r="D27" s="706">
        <v>164263.65</v>
      </c>
      <c r="E27" s="1020"/>
      <c r="F27" s="1020"/>
      <c r="G27" s="706">
        <v>90345.007500000007</v>
      </c>
    </row>
    <row r="28" spans="1:10">
      <c r="A28" s="699">
        <v>26</v>
      </c>
      <c r="B28" s="705">
        <v>43669</v>
      </c>
      <c r="C28" s="704" t="s">
        <v>3472</v>
      </c>
      <c r="D28" s="703">
        <v>138690.4</v>
      </c>
      <c r="E28" s="1020"/>
      <c r="F28" s="1020"/>
      <c r="G28" s="700">
        <v>76279.72</v>
      </c>
      <c r="J28" s="681">
        <f>J22*7</f>
        <v>35882</v>
      </c>
    </row>
    <row r="29" spans="1:10">
      <c r="A29" s="699">
        <v>27</v>
      </c>
      <c r="B29" s="705">
        <v>43670</v>
      </c>
      <c r="C29" s="704" t="s">
        <v>3474</v>
      </c>
      <c r="D29" s="703">
        <v>120159.23</v>
      </c>
      <c r="E29" s="1020"/>
      <c r="F29" s="1020"/>
      <c r="G29" s="706">
        <v>66087.576499999996</v>
      </c>
    </row>
    <row r="30" spans="1:10" hidden="1">
      <c r="A30" s="699">
        <v>28</v>
      </c>
      <c r="B30" s="709">
        <v>43671</v>
      </c>
      <c r="C30" s="708" t="s">
        <v>3477</v>
      </c>
      <c r="D30" s="707">
        <v>17385</v>
      </c>
      <c r="E30" s="1020"/>
      <c r="F30" s="1020"/>
      <c r="G30" s="706">
        <v>9561.75</v>
      </c>
    </row>
    <row r="31" spans="1:10" hidden="1">
      <c r="A31" s="699">
        <v>29</v>
      </c>
      <c r="B31" s="709">
        <v>43671</v>
      </c>
      <c r="C31" s="708" t="s">
        <v>3477</v>
      </c>
      <c r="D31" s="707">
        <v>714125.02</v>
      </c>
      <c r="E31" s="1020"/>
      <c r="F31" s="1020"/>
      <c r="G31" s="706">
        <v>392768.761</v>
      </c>
    </row>
    <row r="32" spans="1:10" hidden="1">
      <c r="A32" s="699">
        <v>30</v>
      </c>
      <c r="B32" s="702">
        <v>43671</v>
      </c>
      <c r="C32" s="701" t="s">
        <v>3483</v>
      </c>
      <c r="D32" s="700">
        <v>49347.519999999997</v>
      </c>
      <c r="E32" s="1020"/>
      <c r="F32" s="1020"/>
      <c r="G32" s="700">
        <v>27141.135999999999</v>
      </c>
    </row>
    <row r="33" spans="1:7" hidden="1">
      <c r="A33" s="699">
        <v>31</v>
      </c>
      <c r="B33" s="702">
        <v>43671</v>
      </c>
      <c r="C33" s="701" t="s">
        <v>3476</v>
      </c>
      <c r="D33" s="700">
        <v>5829.74</v>
      </c>
      <c r="E33" s="1020"/>
      <c r="F33" s="1020"/>
      <c r="G33" s="700">
        <v>3206.357</v>
      </c>
    </row>
    <row r="34" spans="1:7" hidden="1">
      <c r="A34" s="699">
        <v>32</v>
      </c>
      <c r="B34" s="702">
        <v>43671</v>
      </c>
      <c r="C34" s="701" t="s">
        <v>3478</v>
      </c>
      <c r="D34" s="700">
        <v>7290</v>
      </c>
      <c r="E34" s="1020"/>
      <c r="F34" s="1020"/>
      <c r="G34" s="700">
        <v>4009.5</v>
      </c>
    </row>
    <row r="35" spans="1:7">
      <c r="A35" s="699">
        <v>33</v>
      </c>
      <c r="B35" s="705">
        <v>43672</v>
      </c>
      <c r="C35" s="704" t="s">
        <v>3472</v>
      </c>
      <c r="D35" s="703">
        <v>91032.05</v>
      </c>
      <c r="E35" s="1020"/>
      <c r="F35" s="1020"/>
      <c r="G35" s="700">
        <v>50067.627500000002</v>
      </c>
    </row>
    <row r="36" spans="1:7" hidden="1">
      <c r="A36" s="699">
        <v>34</v>
      </c>
      <c r="B36" s="702">
        <v>43672</v>
      </c>
      <c r="C36" s="701" t="s">
        <v>3475</v>
      </c>
      <c r="D36" s="700">
        <v>282073.31</v>
      </c>
      <c r="E36" s="1020"/>
      <c r="F36" s="1020"/>
      <c r="G36" s="700">
        <v>155140.3205</v>
      </c>
    </row>
    <row r="37" spans="1:7" hidden="1">
      <c r="A37" s="699">
        <v>35</v>
      </c>
      <c r="B37" s="702">
        <v>43675</v>
      </c>
      <c r="C37" s="701" t="s">
        <v>3499</v>
      </c>
      <c r="D37" s="700">
        <v>72.099999999999994</v>
      </c>
      <c r="E37" s="1020"/>
      <c r="F37" s="1020"/>
      <c r="G37" s="700">
        <v>39.655000000000001</v>
      </c>
    </row>
    <row r="38" spans="1:7" hidden="1">
      <c r="A38" s="699">
        <v>36</v>
      </c>
      <c r="B38" s="702">
        <v>43675</v>
      </c>
      <c r="C38" s="701" t="s">
        <v>3483</v>
      </c>
      <c r="D38" s="700">
        <v>36925.129999999997</v>
      </c>
      <c r="E38" s="1020"/>
      <c r="F38" s="1020"/>
      <c r="G38" s="700">
        <v>20308.821499999998</v>
      </c>
    </row>
    <row r="39" spans="1:7">
      <c r="A39" s="699">
        <v>37</v>
      </c>
      <c r="B39" s="705">
        <v>43675</v>
      </c>
      <c r="C39" s="704" t="s">
        <v>3489</v>
      </c>
      <c r="D39" s="703">
        <v>471102.07</v>
      </c>
      <c r="E39" s="1020"/>
      <c r="F39" s="1020"/>
      <c r="G39" s="700">
        <v>259106.1385</v>
      </c>
    </row>
    <row r="40" spans="1:7">
      <c r="A40" s="699">
        <v>38</v>
      </c>
      <c r="B40" s="705">
        <v>43677</v>
      </c>
      <c r="C40" s="704" t="s">
        <v>3472</v>
      </c>
      <c r="D40" s="703">
        <v>92097</v>
      </c>
      <c r="E40" s="1020"/>
      <c r="F40" s="1020"/>
      <c r="G40" s="700">
        <v>50653.35</v>
      </c>
    </row>
    <row r="41" spans="1:7" hidden="1">
      <c r="A41" s="699">
        <v>39</v>
      </c>
      <c r="B41" s="702">
        <v>43677</v>
      </c>
      <c r="C41" s="701" t="s">
        <v>3483</v>
      </c>
      <c r="D41" s="700">
        <v>21096.77</v>
      </c>
      <c r="E41" s="1020"/>
      <c r="F41" s="1020"/>
      <c r="G41" s="700">
        <v>11603.2235</v>
      </c>
    </row>
    <row r="42" spans="1:7">
      <c r="A42" s="699">
        <v>40</v>
      </c>
      <c r="B42" s="705">
        <v>43677</v>
      </c>
      <c r="C42" s="704" t="s">
        <v>3474</v>
      </c>
      <c r="D42" s="703">
        <v>192894.78</v>
      </c>
      <c r="E42" s="1020"/>
      <c r="F42" s="1020"/>
      <c r="G42" s="700">
        <v>106092.129</v>
      </c>
    </row>
    <row r="43" spans="1:7" hidden="1">
      <c r="A43" s="699">
        <v>41</v>
      </c>
      <c r="B43" s="709">
        <v>43677</v>
      </c>
      <c r="C43" s="708" t="s">
        <v>3471</v>
      </c>
      <c r="D43" s="707">
        <v>2389152.41</v>
      </c>
      <c r="E43" s="1020"/>
      <c r="F43" s="1020"/>
      <c r="G43" s="700">
        <v>1314033.8255</v>
      </c>
    </row>
    <row r="44" spans="1:7" hidden="1">
      <c r="A44" s="699">
        <v>42</v>
      </c>
      <c r="B44" s="702">
        <v>43678</v>
      </c>
      <c r="C44" s="701" t="s">
        <v>3493</v>
      </c>
      <c r="D44" s="700">
        <v>876</v>
      </c>
      <c r="E44" s="1020">
        <v>2019.08</v>
      </c>
      <c r="F44" s="1019">
        <f>SUM(D44:D86)</f>
        <v>7016055.3900000015</v>
      </c>
      <c r="G44" s="700">
        <v>481.8</v>
      </c>
    </row>
    <row r="45" spans="1:7">
      <c r="A45" s="699">
        <v>43</v>
      </c>
      <c r="B45" s="705">
        <v>43679</v>
      </c>
      <c r="C45" s="704" t="s">
        <v>3472</v>
      </c>
      <c r="D45" s="703">
        <v>91376.06</v>
      </c>
      <c r="E45" s="1020"/>
      <c r="F45" s="1020"/>
      <c r="G45" s="700">
        <v>50256.832999999999</v>
      </c>
    </row>
    <row r="46" spans="1:7" hidden="1">
      <c r="A46" s="699">
        <v>44</v>
      </c>
      <c r="B46" s="702">
        <v>43679</v>
      </c>
      <c r="C46" s="701" t="s">
        <v>3490</v>
      </c>
      <c r="D46" s="700">
        <v>4988.84</v>
      </c>
      <c r="E46" s="1020"/>
      <c r="F46" s="1020"/>
      <c r="G46" s="700">
        <v>2743.8620000000001</v>
      </c>
    </row>
    <row r="47" spans="1:7" hidden="1">
      <c r="A47" s="699">
        <v>45</v>
      </c>
      <c r="B47" s="702">
        <v>43682</v>
      </c>
      <c r="C47" s="701" t="s">
        <v>3483</v>
      </c>
      <c r="D47" s="700">
        <v>26245.99</v>
      </c>
      <c r="E47" s="1020"/>
      <c r="F47" s="1020"/>
      <c r="G47" s="700">
        <v>14435.2945</v>
      </c>
    </row>
    <row r="48" spans="1:7" hidden="1">
      <c r="A48" s="699">
        <v>46</v>
      </c>
      <c r="B48" s="702">
        <v>43682</v>
      </c>
      <c r="C48" s="701" t="s">
        <v>3503</v>
      </c>
      <c r="D48" s="700">
        <v>1815</v>
      </c>
      <c r="E48" s="1020"/>
      <c r="F48" s="1020"/>
      <c r="G48" s="700">
        <v>998.25</v>
      </c>
    </row>
    <row r="49" spans="1:7" hidden="1">
      <c r="A49" s="699">
        <v>47</v>
      </c>
      <c r="B49" s="702">
        <v>43683</v>
      </c>
      <c r="C49" s="701" t="s">
        <v>3480</v>
      </c>
      <c r="D49" s="700">
        <v>13127.14</v>
      </c>
      <c r="E49" s="1020"/>
      <c r="F49" s="1020"/>
      <c r="G49" s="700">
        <v>7219.9269999999997</v>
      </c>
    </row>
    <row r="50" spans="1:7">
      <c r="A50" s="699">
        <v>48</v>
      </c>
      <c r="B50" s="705">
        <v>43683</v>
      </c>
      <c r="C50" s="704" t="s">
        <v>3472</v>
      </c>
      <c r="D50" s="703">
        <v>88119.29</v>
      </c>
      <c r="E50" s="1020"/>
      <c r="F50" s="1020"/>
      <c r="G50" s="700">
        <v>48465.609499999999</v>
      </c>
    </row>
    <row r="51" spans="1:7" hidden="1">
      <c r="A51" s="699">
        <v>49</v>
      </c>
      <c r="B51" s="702">
        <v>43683</v>
      </c>
      <c r="C51" s="701" t="s">
        <v>3502</v>
      </c>
      <c r="D51" s="698">
        <v>658.96</v>
      </c>
      <c r="E51" s="1020"/>
      <c r="F51" s="1020"/>
      <c r="G51" s="698">
        <v>362.428</v>
      </c>
    </row>
    <row r="52" spans="1:7">
      <c r="A52" s="699">
        <v>50</v>
      </c>
      <c r="B52" s="705">
        <v>43684</v>
      </c>
      <c r="C52" s="704" t="s">
        <v>3474</v>
      </c>
      <c r="D52" s="711">
        <v>280649.88</v>
      </c>
      <c r="E52" s="1020"/>
      <c r="F52" s="1020"/>
      <c r="G52" s="698">
        <v>154357.43400000001</v>
      </c>
    </row>
    <row r="53" spans="1:7">
      <c r="A53" s="699">
        <v>51</v>
      </c>
      <c r="B53" s="705">
        <v>43684</v>
      </c>
      <c r="C53" s="704" t="s">
        <v>3474</v>
      </c>
      <c r="D53" s="703">
        <v>2380</v>
      </c>
      <c r="E53" s="1020"/>
      <c r="F53" s="1020"/>
      <c r="G53" s="700">
        <v>1309</v>
      </c>
    </row>
    <row r="54" spans="1:7" hidden="1">
      <c r="A54" s="699">
        <v>52</v>
      </c>
      <c r="B54" s="702">
        <v>43684</v>
      </c>
      <c r="C54" s="701" t="s">
        <v>3483</v>
      </c>
      <c r="D54" s="700">
        <v>16871.580000000002</v>
      </c>
      <c r="E54" s="1020"/>
      <c r="F54" s="1020"/>
      <c r="G54" s="700">
        <v>9279.3690000000006</v>
      </c>
    </row>
    <row r="55" spans="1:7" hidden="1">
      <c r="A55" s="699">
        <v>53</v>
      </c>
      <c r="B55" s="702">
        <v>43684</v>
      </c>
      <c r="C55" s="701" t="s">
        <v>3501</v>
      </c>
      <c r="D55" s="700">
        <v>2894.84</v>
      </c>
      <c r="E55" s="1020"/>
      <c r="F55" s="1020"/>
      <c r="G55" s="700">
        <v>1592.162</v>
      </c>
    </row>
    <row r="56" spans="1:7">
      <c r="A56" s="699">
        <v>54</v>
      </c>
      <c r="B56" s="705">
        <v>43686</v>
      </c>
      <c r="C56" s="704" t="s">
        <v>3472</v>
      </c>
      <c r="D56" s="703">
        <v>82442.2</v>
      </c>
      <c r="E56" s="1020"/>
      <c r="F56" s="1020"/>
      <c r="G56" s="700">
        <v>45343.21</v>
      </c>
    </row>
    <row r="57" spans="1:7" hidden="1">
      <c r="A57" s="699">
        <v>55</v>
      </c>
      <c r="B57" s="702">
        <v>43689</v>
      </c>
      <c r="C57" s="701" t="s">
        <v>3483</v>
      </c>
      <c r="D57" s="700">
        <v>14776.89</v>
      </c>
      <c r="E57" s="1020"/>
      <c r="F57" s="1020"/>
      <c r="G57" s="700">
        <v>8127.2894999999999</v>
      </c>
    </row>
    <row r="58" spans="1:7">
      <c r="A58" s="699">
        <v>56</v>
      </c>
      <c r="B58" s="705">
        <v>43690</v>
      </c>
      <c r="C58" s="704" t="s">
        <v>3472</v>
      </c>
      <c r="D58" s="703">
        <v>74636.399999999994</v>
      </c>
      <c r="E58" s="1020"/>
      <c r="F58" s="1020"/>
      <c r="G58" s="700">
        <v>41050.019999999997</v>
      </c>
    </row>
    <row r="59" spans="1:7" hidden="1">
      <c r="A59" s="699">
        <v>57</v>
      </c>
      <c r="B59" s="702">
        <v>43691</v>
      </c>
      <c r="C59" s="701" t="s">
        <v>3483</v>
      </c>
      <c r="D59" s="706">
        <v>11619.01</v>
      </c>
      <c r="E59" s="1020"/>
      <c r="F59" s="1020"/>
      <c r="G59" s="706">
        <v>6390.4555</v>
      </c>
    </row>
    <row r="60" spans="1:7">
      <c r="A60" s="699">
        <v>58</v>
      </c>
      <c r="B60" s="705">
        <v>43691</v>
      </c>
      <c r="C60" s="704" t="s">
        <v>3474</v>
      </c>
      <c r="D60" s="703">
        <v>197177.62</v>
      </c>
      <c r="E60" s="1020"/>
      <c r="F60" s="1020"/>
      <c r="G60" s="706">
        <v>108447.69100000001</v>
      </c>
    </row>
    <row r="61" spans="1:7">
      <c r="A61" s="699">
        <v>59</v>
      </c>
      <c r="B61" s="705">
        <v>43692</v>
      </c>
      <c r="C61" s="704" t="s">
        <v>3472</v>
      </c>
      <c r="D61" s="703">
        <v>74443.100000000006</v>
      </c>
      <c r="E61" s="1020"/>
      <c r="F61" s="1020"/>
      <c r="G61" s="706">
        <v>40943.705000000002</v>
      </c>
    </row>
    <row r="62" spans="1:7" hidden="1">
      <c r="A62" s="699">
        <v>60</v>
      </c>
      <c r="B62" s="702">
        <v>43693</v>
      </c>
      <c r="C62" s="701" t="s">
        <v>3486</v>
      </c>
      <c r="D62" s="706">
        <v>11015</v>
      </c>
      <c r="E62" s="1020"/>
      <c r="F62" s="1020"/>
      <c r="G62" s="706">
        <v>6058.25</v>
      </c>
    </row>
    <row r="63" spans="1:7" hidden="1">
      <c r="A63" s="699">
        <v>61</v>
      </c>
      <c r="B63" s="702">
        <v>43693</v>
      </c>
      <c r="C63" s="701" t="s">
        <v>3483</v>
      </c>
      <c r="D63" s="706">
        <v>5943.97</v>
      </c>
      <c r="E63" s="1020"/>
      <c r="F63" s="1020"/>
      <c r="G63" s="706">
        <v>3269.1835000000001</v>
      </c>
    </row>
    <row r="64" spans="1:7" hidden="1">
      <c r="A64" s="699">
        <v>62</v>
      </c>
      <c r="B64" s="702">
        <v>43696</v>
      </c>
      <c r="C64" s="701" t="s">
        <v>3480</v>
      </c>
      <c r="D64" s="706">
        <v>2385.13</v>
      </c>
      <c r="E64" s="1020"/>
      <c r="F64" s="1020"/>
      <c r="G64" s="706">
        <v>1311.8215</v>
      </c>
    </row>
    <row r="65" spans="1:7" hidden="1">
      <c r="A65" s="699">
        <v>63</v>
      </c>
      <c r="B65" s="702">
        <v>43697</v>
      </c>
      <c r="C65" s="701" t="s">
        <v>3492</v>
      </c>
      <c r="D65" s="706">
        <v>2737</v>
      </c>
      <c r="E65" s="1020"/>
      <c r="F65" s="1020"/>
      <c r="G65" s="706">
        <v>1505.35</v>
      </c>
    </row>
    <row r="66" spans="1:7" hidden="1">
      <c r="A66" s="699">
        <v>64</v>
      </c>
      <c r="B66" s="702">
        <v>43697</v>
      </c>
      <c r="C66" s="701" t="s">
        <v>3498</v>
      </c>
      <c r="D66" s="706">
        <v>252651.7</v>
      </c>
      <c r="E66" s="1020"/>
      <c r="F66" s="1020"/>
      <c r="G66" s="706">
        <v>138958.435</v>
      </c>
    </row>
    <row r="67" spans="1:7" hidden="1">
      <c r="A67" s="699">
        <v>65</v>
      </c>
      <c r="B67" s="702">
        <v>43697</v>
      </c>
      <c r="C67" s="701" t="s">
        <v>3481</v>
      </c>
      <c r="D67" s="700">
        <v>27649.71</v>
      </c>
      <c r="E67" s="1020"/>
      <c r="F67" s="1020"/>
      <c r="G67" s="700">
        <v>15207.3405</v>
      </c>
    </row>
    <row r="68" spans="1:7" hidden="1">
      <c r="A68" s="699">
        <v>66</v>
      </c>
      <c r="B68" s="709">
        <v>43697</v>
      </c>
      <c r="C68" s="708" t="s">
        <v>3479</v>
      </c>
      <c r="D68" s="707">
        <v>3479540.74</v>
      </c>
      <c r="E68" s="1020"/>
      <c r="F68" s="1020"/>
      <c r="G68" s="700">
        <v>1913747.4069999999</v>
      </c>
    </row>
    <row r="69" spans="1:7">
      <c r="A69" s="699">
        <v>67</v>
      </c>
      <c r="B69" s="705">
        <v>43698</v>
      </c>
      <c r="C69" s="704" t="s">
        <v>3472</v>
      </c>
      <c r="D69" s="703">
        <v>116985.88</v>
      </c>
      <c r="E69" s="1020"/>
      <c r="F69" s="1020"/>
      <c r="G69" s="706">
        <v>64342.233999999997</v>
      </c>
    </row>
    <row r="70" spans="1:7">
      <c r="A70" s="699">
        <v>68</v>
      </c>
      <c r="B70" s="705">
        <v>43698</v>
      </c>
      <c r="C70" s="704" t="s">
        <v>3474</v>
      </c>
      <c r="D70" s="703">
        <v>225765.55</v>
      </c>
      <c r="E70" s="1020"/>
      <c r="F70" s="1020"/>
      <c r="G70" s="706">
        <v>124171.05250000001</v>
      </c>
    </row>
    <row r="71" spans="1:7" hidden="1">
      <c r="A71" s="699">
        <v>69</v>
      </c>
      <c r="B71" s="702">
        <v>43698</v>
      </c>
      <c r="C71" s="701" t="s">
        <v>3483</v>
      </c>
      <c r="D71" s="706">
        <v>30367</v>
      </c>
      <c r="E71" s="1020"/>
      <c r="F71" s="1020"/>
      <c r="G71" s="706">
        <v>16701.849999999999</v>
      </c>
    </row>
    <row r="72" spans="1:7">
      <c r="A72" s="699">
        <v>70</v>
      </c>
      <c r="B72" s="705">
        <v>43700</v>
      </c>
      <c r="C72" s="704" t="s">
        <v>3472</v>
      </c>
      <c r="D72" s="703">
        <v>90790.9</v>
      </c>
      <c r="E72" s="1020"/>
      <c r="F72" s="1020"/>
      <c r="G72" s="700">
        <v>49934.995000000003</v>
      </c>
    </row>
    <row r="73" spans="1:7" hidden="1">
      <c r="A73" s="699">
        <v>71</v>
      </c>
      <c r="B73" s="702">
        <v>43700</v>
      </c>
      <c r="C73" s="701" t="s">
        <v>3483</v>
      </c>
      <c r="D73" s="700">
        <v>22927.91</v>
      </c>
      <c r="E73" s="1020"/>
      <c r="F73" s="1020"/>
      <c r="G73" s="700">
        <v>12610.3505</v>
      </c>
    </row>
    <row r="74" spans="1:7" hidden="1">
      <c r="A74" s="699">
        <v>72</v>
      </c>
      <c r="B74" s="709">
        <v>43703</v>
      </c>
      <c r="C74" s="708" t="s">
        <v>3477</v>
      </c>
      <c r="D74" s="707">
        <v>783135.78</v>
      </c>
      <c r="E74" s="1020"/>
      <c r="F74" s="1020"/>
      <c r="G74" s="700">
        <v>430724.679</v>
      </c>
    </row>
    <row r="75" spans="1:7" hidden="1">
      <c r="A75" s="699">
        <v>73</v>
      </c>
      <c r="B75" s="709">
        <v>43703</v>
      </c>
      <c r="C75" s="708" t="s">
        <v>3477</v>
      </c>
      <c r="D75" s="707">
        <v>11385</v>
      </c>
      <c r="E75" s="1020"/>
      <c r="F75" s="1020"/>
      <c r="G75" s="700">
        <v>6261.75</v>
      </c>
    </row>
    <row r="76" spans="1:7">
      <c r="A76" s="699">
        <v>74</v>
      </c>
      <c r="B76" s="705">
        <v>43703</v>
      </c>
      <c r="C76" s="704" t="s">
        <v>3489</v>
      </c>
      <c r="D76" s="703">
        <v>436506.37</v>
      </c>
      <c r="E76" s="1020"/>
      <c r="F76" s="1020"/>
      <c r="G76" s="700">
        <v>240078.50349999999</v>
      </c>
    </row>
    <row r="77" spans="1:7" hidden="1">
      <c r="A77" s="699">
        <v>75</v>
      </c>
      <c r="B77" s="702">
        <v>43703</v>
      </c>
      <c r="C77" s="701" t="s">
        <v>3499</v>
      </c>
      <c r="D77" s="700">
        <v>10219.799999999999</v>
      </c>
      <c r="E77" s="1020"/>
      <c r="F77" s="1020"/>
      <c r="G77" s="700">
        <v>5620.89</v>
      </c>
    </row>
    <row r="78" spans="1:7" hidden="1">
      <c r="A78" s="699">
        <v>76</v>
      </c>
      <c r="B78" s="702">
        <v>43703</v>
      </c>
      <c r="C78" s="701" t="s">
        <v>3475</v>
      </c>
      <c r="D78" s="700">
        <v>175534.82</v>
      </c>
      <c r="E78" s="1020"/>
      <c r="F78" s="1020"/>
      <c r="G78" s="700">
        <v>96544.150999999998</v>
      </c>
    </row>
    <row r="79" spans="1:7" hidden="1">
      <c r="A79" s="699">
        <v>77</v>
      </c>
      <c r="B79" s="702">
        <v>43704</v>
      </c>
      <c r="C79" s="701" t="s">
        <v>3478</v>
      </c>
      <c r="D79" s="700">
        <v>4663.46</v>
      </c>
      <c r="E79" s="1020"/>
      <c r="F79" s="1020"/>
      <c r="G79" s="700">
        <v>2564.9029999999998</v>
      </c>
    </row>
    <row r="80" spans="1:7">
      <c r="A80" s="699">
        <v>78</v>
      </c>
      <c r="B80" s="705">
        <v>43704</v>
      </c>
      <c r="C80" s="704" t="s">
        <v>3472</v>
      </c>
      <c r="D80" s="703">
        <v>85122.65</v>
      </c>
      <c r="E80" s="1020"/>
      <c r="F80" s="1020"/>
      <c r="G80" s="700">
        <v>46817.457499999997</v>
      </c>
    </row>
    <row r="81" spans="1:7" hidden="1">
      <c r="A81" s="699">
        <v>79</v>
      </c>
      <c r="B81" s="702">
        <v>43705</v>
      </c>
      <c r="C81" s="701" t="s">
        <v>3476</v>
      </c>
      <c r="D81" s="700">
        <v>6086.78</v>
      </c>
      <c r="E81" s="1020"/>
      <c r="F81" s="1020"/>
      <c r="G81" s="700">
        <v>3347.7289999999998</v>
      </c>
    </row>
    <row r="82" spans="1:7" hidden="1">
      <c r="A82" s="699">
        <v>80</v>
      </c>
      <c r="B82" s="702">
        <v>43706</v>
      </c>
      <c r="C82" s="701" t="s">
        <v>3483</v>
      </c>
      <c r="D82" s="700">
        <v>18761.599999999999</v>
      </c>
      <c r="E82" s="1020"/>
      <c r="F82" s="1020"/>
      <c r="G82" s="700">
        <v>10318.879999999999</v>
      </c>
    </row>
    <row r="83" spans="1:7">
      <c r="A83" s="699">
        <v>81</v>
      </c>
      <c r="B83" s="705">
        <v>43706</v>
      </c>
      <c r="C83" s="704" t="s">
        <v>3474</v>
      </c>
      <c r="D83" s="703">
        <v>105658.65</v>
      </c>
      <c r="E83" s="1020"/>
      <c r="F83" s="1020"/>
      <c r="G83" s="700">
        <v>58112.2575</v>
      </c>
    </row>
    <row r="84" spans="1:7">
      <c r="A84" s="699">
        <v>82</v>
      </c>
      <c r="B84" s="705">
        <v>43707</v>
      </c>
      <c r="C84" s="704" t="s">
        <v>3472</v>
      </c>
      <c r="D84" s="703">
        <v>105749.75</v>
      </c>
      <c r="E84" s="1020"/>
      <c r="F84" s="1020"/>
      <c r="G84" s="700">
        <v>58162.362500000003</v>
      </c>
    </row>
    <row r="85" spans="1:7" hidden="1">
      <c r="A85" s="699">
        <v>83</v>
      </c>
      <c r="B85" s="702">
        <v>43707</v>
      </c>
      <c r="C85" s="701" t="s">
        <v>3483</v>
      </c>
      <c r="D85" s="700">
        <v>15049.44</v>
      </c>
      <c r="E85" s="1020"/>
      <c r="F85" s="1020"/>
      <c r="G85" s="700">
        <v>8277.1919999999991</v>
      </c>
    </row>
    <row r="86" spans="1:7" hidden="1">
      <c r="A86" s="699">
        <v>84</v>
      </c>
      <c r="B86" s="702">
        <v>43707</v>
      </c>
      <c r="C86" s="701" t="s">
        <v>3493</v>
      </c>
      <c r="D86" s="700">
        <v>4322</v>
      </c>
      <c r="E86" s="1020"/>
      <c r="F86" s="1020"/>
      <c r="G86" s="700">
        <v>2377.1</v>
      </c>
    </row>
    <row r="87" spans="1:7" hidden="1">
      <c r="A87" s="699">
        <v>85</v>
      </c>
      <c r="B87" s="709">
        <v>43710</v>
      </c>
      <c r="C87" s="708" t="s">
        <v>3471</v>
      </c>
      <c r="D87" s="707">
        <v>2591699.2000000002</v>
      </c>
      <c r="E87" s="1020">
        <v>2019.09</v>
      </c>
      <c r="F87" s="1019">
        <f>SUM(D87:D123)</f>
        <v>11361722.770000001</v>
      </c>
      <c r="G87" s="700">
        <v>1425434.56</v>
      </c>
    </row>
    <row r="88" spans="1:7" hidden="1">
      <c r="A88" s="699">
        <v>86</v>
      </c>
      <c r="B88" s="702">
        <v>43710</v>
      </c>
      <c r="C88" s="701" t="s">
        <v>3485</v>
      </c>
      <c r="D88" s="700">
        <v>858.42</v>
      </c>
      <c r="E88" s="1020"/>
      <c r="F88" s="1020"/>
      <c r="G88" s="700">
        <v>472.13099999999997</v>
      </c>
    </row>
    <row r="89" spans="1:7" hidden="1">
      <c r="A89" s="699">
        <v>87</v>
      </c>
      <c r="B89" s="702">
        <v>43711</v>
      </c>
      <c r="C89" s="701" t="s">
        <v>3480</v>
      </c>
      <c r="D89" s="700">
        <v>9277.02</v>
      </c>
      <c r="E89" s="1020"/>
      <c r="F89" s="1020"/>
      <c r="G89" s="700">
        <v>5102.3609999999999</v>
      </c>
    </row>
    <row r="90" spans="1:7" hidden="1">
      <c r="A90" s="699">
        <v>88</v>
      </c>
      <c r="B90" s="702">
        <v>43711</v>
      </c>
      <c r="C90" s="701" t="s">
        <v>3490</v>
      </c>
      <c r="D90" s="700">
        <v>9569.98</v>
      </c>
      <c r="E90" s="1020"/>
      <c r="F90" s="1020"/>
      <c r="G90" s="700">
        <v>5263.4889999999996</v>
      </c>
    </row>
    <row r="91" spans="1:7">
      <c r="A91" s="699">
        <v>89</v>
      </c>
      <c r="B91" s="705">
        <v>43712</v>
      </c>
      <c r="C91" s="704" t="s">
        <v>3474</v>
      </c>
      <c r="D91" s="703">
        <v>173954.17</v>
      </c>
      <c r="E91" s="1020"/>
      <c r="F91" s="1020"/>
      <c r="G91" s="700">
        <v>95674.7935</v>
      </c>
    </row>
    <row r="92" spans="1:7">
      <c r="A92" s="699">
        <v>90</v>
      </c>
      <c r="B92" s="705">
        <v>43712</v>
      </c>
      <c r="C92" s="704" t="s">
        <v>3472</v>
      </c>
      <c r="D92" s="703">
        <v>70874.240000000005</v>
      </c>
      <c r="E92" s="1020"/>
      <c r="F92" s="1020"/>
      <c r="G92" s="700">
        <v>38980.832000000002</v>
      </c>
    </row>
    <row r="93" spans="1:7" hidden="1">
      <c r="A93" s="699">
        <v>91</v>
      </c>
      <c r="B93" s="702">
        <v>43712</v>
      </c>
      <c r="C93" s="701" t="s">
        <v>3483</v>
      </c>
      <c r="D93" s="700">
        <v>30711.85</v>
      </c>
      <c r="E93" s="1020"/>
      <c r="F93" s="1020"/>
      <c r="G93" s="700">
        <v>16891.517500000002</v>
      </c>
    </row>
    <row r="94" spans="1:7">
      <c r="A94" s="699">
        <v>92</v>
      </c>
      <c r="B94" s="705">
        <v>43714</v>
      </c>
      <c r="C94" s="704" t="s">
        <v>3472</v>
      </c>
      <c r="D94" s="703">
        <v>140887.72</v>
      </c>
      <c r="E94" s="1020"/>
      <c r="F94" s="1020"/>
      <c r="G94" s="700">
        <v>77488.245999999999</v>
      </c>
    </row>
    <row r="95" spans="1:7">
      <c r="A95" s="699">
        <v>93</v>
      </c>
      <c r="B95" s="705">
        <v>43714</v>
      </c>
      <c r="C95" s="704" t="s">
        <v>3474</v>
      </c>
      <c r="D95" s="703">
        <v>112627.93</v>
      </c>
      <c r="E95" s="1020"/>
      <c r="F95" s="1020"/>
      <c r="G95" s="700">
        <v>61945.361499999999</v>
      </c>
    </row>
    <row r="96" spans="1:7" hidden="1">
      <c r="A96" s="699">
        <v>94</v>
      </c>
      <c r="B96" s="702">
        <v>43714</v>
      </c>
      <c r="C96" s="701" t="s">
        <v>3483</v>
      </c>
      <c r="D96" s="700">
        <v>26316.38</v>
      </c>
      <c r="E96" s="1020"/>
      <c r="F96" s="1020"/>
      <c r="G96" s="700">
        <v>14474.009</v>
      </c>
    </row>
    <row r="97" spans="1:7" hidden="1">
      <c r="A97" s="699">
        <v>95</v>
      </c>
      <c r="B97" s="702">
        <v>43717</v>
      </c>
      <c r="C97" s="701" t="s">
        <v>3499</v>
      </c>
      <c r="D97" s="700">
        <v>3813.8</v>
      </c>
      <c r="E97" s="1020"/>
      <c r="F97" s="1020"/>
      <c r="G97" s="700">
        <v>2097.59</v>
      </c>
    </row>
    <row r="98" spans="1:7">
      <c r="A98" s="699">
        <v>96</v>
      </c>
      <c r="B98" s="705">
        <v>43718</v>
      </c>
      <c r="C98" s="704" t="s">
        <v>3474</v>
      </c>
      <c r="D98" s="703">
        <v>71496.59</v>
      </c>
      <c r="E98" s="1020"/>
      <c r="F98" s="1020"/>
      <c r="G98" s="700">
        <v>39323.124499999998</v>
      </c>
    </row>
    <row r="99" spans="1:7">
      <c r="A99" s="699">
        <v>97</v>
      </c>
      <c r="B99" s="705">
        <v>43718</v>
      </c>
      <c r="C99" s="704" t="s">
        <v>3472</v>
      </c>
      <c r="D99" s="703">
        <v>80674.5</v>
      </c>
      <c r="E99" s="1020"/>
      <c r="F99" s="1020"/>
      <c r="G99" s="700">
        <v>44370.974999999999</v>
      </c>
    </row>
    <row r="100" spans="1:7">
      <c r="A100" s="699">
        <v>98</v>
      </c>
      <c r="B100" s="705">
        <v>43718</v>
      </c>
      <c r="C100" s="704" t="s">
        <v>3474</v>
      </c>
      <c r="D100" s="703">
        <v>11080</v>
      </c>
      <c r="E100" s="1020"/>
      <c r="F100" s="1020"/>
      <c r="G100" s="700">
        <v>6094</v>
      </c>
    </row>
    <row r="101" spans="1:7" hidden="1">
      <c r="A101" s="699">
        <v>99</v>
      </c>
      <c r="B101" s="702">
        <v>43719</v>
      </c>
      <c r="C101" s="701" t="s">
        <v>3483</v>
      </c>
      <c r="D101" s="700">
        <v>8348.14</v>
      </c>
      <c r="E101" s="1020"/>
      <c r="F101" s="1020"/>
      <c r="G101" s="700">
        <v>4591.4769999999999</v>
      </c>
    </row>
    <row r="102" spans="1:7">
      <c r="A102" s="699">
        <v>100</v>
      </c>
      <c r="B102" s="705">
        <v>43724</v>
      </c>
      <c r="C102" s="704" t="s">
        <v>3472</v>
      </c>
      <c r="D102" s="703">
        <v>110211.38</v>
      </c>
      <c r="E102" s="1020"/>
      <c r="F102" s="1020"/>
      <c r="G102" s="700">
        <v>60616.258999999998</v>
      </c>
    </row>
    <row r="103" spans="1:7" hidden="1">
      <c r="A103" s="699">
        <v>101</v>
      </c>
      <c r="B103" s="702">
        <v>43724</v>
      </c>
      <c r="C103" s="701" t="s">
        <v>3483</v>
      </c>
      <c r="D103" s="700">
        <v>21545</v>
      </c>
      <c r="E103" s="1020"/>
      <c r="F103" s="1020"/>
      <c r="G103" s="700">
        <v>11849.75</v>
      </c>
    </row>
    <row r="104" spans="1:7">
      <c r="A104" s="699">
        <v>102</v>
      </c>
      <c r="B104" s="705">
        <v>43725</v>
      </c>
      <c r="C104" s="704" t="s">
        <v>3472</v>
      </c>
      <c r="D104" s="703">
        <v>81386.899999999994</v>
      </c>
      <c r="E104" s="1020"/>
      <c r="F104" s="1020"/>
      <c r="G104" s="700">
        <v>44762.794999999998</v>
      </c>
    </row>
    <row r="105" spans="1:7" hidden="1">
      <c r="A105" s="699">
        <v>103</v>
      </c>
      <c r="B105" s="702">
        <v>43725</v>
      </c>
      <c r="C105" s="701" t="s">
        <v>3480</v>
      </c>
      <c r="D105" s="700">
        <v>13556.62</v>
      </c>
      <c r="E105" s="1020"/>
      <c r="F105" s="1020"/>
      <c r="G105" s="700">
        <v>7456.1409999999996</v>
      </c>
    </row>
    <row r="106" spans="1:7">
      <c r="A106" s="699">
        <v>104</v>
      </c>
      <c r="B106" s="705">
        <v>43726</v>
      </c>
      <c r="C106" s="704" t="s">
        <v>3474</v>
      </c>
      <c r="D106" s="703">
        <v>276415.02</v>
      </c>
      <c r="E106" s="1020"/>
      <c r="F106" s="1020"/>
      <c r="G106" s="700">
        <v>152028.261</v>
      </c>
    </row>
    <row r="107" spans="1:7" hidden="1">
      <c r="A107" s="699">
        <v>105</v>
      </c>
      <c r="B107" s="702">
        <v>43728</v>
      </c>
      <c r="C107" s="701" t="s">
        <v>3500</v>
      </c>
      <c r="D107" s="700">
        <v>895</v>
      </c>
      <c r="E107" s="1020"/>
      <c r="F107" s="1020"/>
      <c r="G107" s="700">
        <v>492.25</v>
      </c>
    </row>
    <row r="108" spans="1:7">
      <c r="A108" s="699">
        <v>106</v>
      </c>
      <c r="B108" s="705">
        <v>43728</v>
      </c>
      <c r="C108" s="704" t="s">
        <v>3472</v>
      </c>
      <c r="D108" s="703">
        <v>138329.78</v>
      </c>
      <c r="E108" s="1020"/>
      <c r="F108" s="1020"/>
      <c r="G108" s="700">
        <v>76081.379000000001</v>
      </c>
    </row>
    <row r="109" spans="1:7" hidden="1">
      <c r="A109" s="699">
        <v>107</v>
      </c>
      <c r="B109" s="709">
        <v>43728</v>
      </c>
      <c r="C109" s="708" t="s">
        <v>3479</v>
      </c>
      <c r="D109" s="707">
        <v>2754694.8</v>
      </c>
      <c r="E109" s="1020"/>
      <c r="F109" s="1020"/>
      <c r="G109" s="700">
        <v>1515082.14</v>
      </c>
    </row>
    <row r="110" spans="1:7" hidden="1">
      <c r="A110" s="699">
        <v>108</v>
      </c>
      <c r="B110" s="702">
        <v>43728</v>
      </c>
      <c r="C110" s="701" t="s">
        <v>3481</v>
      </c>
      <c r="D110" s="700">
        <v>18132.150000000001</v>
      </c>
      <c r="E110" s="1020"/>
      <c r="F110" s="1020"/>
      <c r="G110" s="700">
        <v>9972.6825000000008</v>
      </c>
    </row>
    <row r="111" spans="1:7" hidden="1">
      <c r="A111" s="699">
        <v>109</v>
      </c>
      <c r="B111" s="702">
        <v>43731</v>
      </c>
      <c r="C111" s="701" t="s">
        <v>3498</v>
      </c>
      <c r="D111" s="700">
        <v>145342.79999999999</v>
      </c>
      <c r="E111" s="1020"/>
      <c r="F111" s="1020"/>
      <c r="G111" s="700">
        <v>79938.539999999994</v>
      </c>
    </row>
    <row r="112" spans="1:7" hidden="1">
      <c r="A112" s="699">
        <v>110</v>
      </c>
      <c r="B112" s="709">
        <v>43731</v>
      </c>
      <c r="C112" s="708" t="s">
        <v>3477</v>
      </c>
      <c r="D112" s="707">
        <v>645786.36</v>
      </c>
      <c r="E112" s="1020"/>
      <c r="F112" s="1020"/>
      <c r="G112" s="700">
        <v>355182.49800000002</v>
      </c>
    </row>
    <row r="113" spans="1:7" hidden="1">
      <c r="A113" s="699">
        <v>111</v>
      </c>
      <c r="B113" s="709">
        <v>43731</v>
      </c>
      <c r="C113" s="708" t="s">
        <v>3477</v>
      </c>
      <c r="D113" s="707">
        <v>21585</v>
      </c>
      <c r="E113" s="1020"/>
      <c r="F113" s="1020"/>
      <c r="G113" s="700">
        <v>11871.75</v>
      </c>
    </row>
    <row r="114" spans="1:7">
      <c r="A114" s="699">
        <v>112</v>
      </c>
      <c r="B114" s="705">
        <v>43733</v>
      </c>
      <c r="C114" s="704" t="s">
        <v>3472</v>
      </c>
      <c r="D114" s="703">
        <v>122951.3</v>
      </c>
      <c r="E114" s="1020"/>
      <c r="F114" s="1020"/>
      <c r="G114" s="700">
        <v>67623.214999999997</v>
      </c>
    </row>
    <row r="115" spans="1:7">
      <c r="A115" s="699">
        <v>113</v>
      </c>
      <c r="B115" s="705">
        <v>43733</v>
      </c>
      <c r="C115" s="704" t="s">
        <v>3474</v>
      </c>
      <c r="D115" s="703">
        <v>207166.75</v>
      </c>
      <c r="E115" s="1020"/>
      <c r="F115" s="1020"/>
      <c r="G115" s="700">
        <v>113941.71249999999</v>
      </c>
    </row>
    <row r="116" spans="1:7" hidden="1">
      <c r="A116" s="699">
        <v>114</v>
      </c>
      <c r="B116" s="702">
        <v>43734</v>
      </c>
      <c r="C116" s="701" t="s">
        <v>3476</v>
      </c>
      <c r="D116" s="700">
        <v>1310.44</v>
      </c>
      <c r="E116" s="1020"/>
      <c r="F116" s="1020"/>
      <c r="G116" s="700">
        <v>720.74199999999996</v>
      </c>
    </row>
    <row r="117" spans="1:7" hidden="1">
      <c r="A117" s="699">
        <v>115</v>
      </c>
      <c r="B117" s="709">
        <v>43734</v>
      </c>
      <c r="C117" s="708" t="s">
        <v>3471</v>
      </c>
      <c r="D117" s="707">
        <v>2372514.3199999998</v>
      </c>
      <c r="E117" s="1020"/>
      <c r="F117" s="1020"/>
      <c r="G117" s="700">
        <v>1304882.8759999999</v>
      </c>
    </row>
    <row r="118" spans="1:7" hidden="1">
      <c r="A118" s="699">
        <v>116</v>
      </c>
      <c r="B118" s="709">
        <v>43734</v>
      </c>
      <c r="C118" s="708" t="s">
        <v>3477</v>
      </c>
      <c r="D118" s="707">
        <v>14985</v>
      </c>
      <c r="E118" s="1020"/>
      <c r="F118" s="1020"/>
      <c r="G118" s="700">
        <v>8241.75</v>
      </c>
    </row>
    <row r="119" spans="1:7" hidden="1">
      <c r="A119" s="699">
        <v>117</v>
      </c>
      <c r="B119" s="702">
        <v>43734</v>
      </c>
      <c r="C119" s="701" t="s">
        <v>3475</v>
      </c>
      <c r="D119" s="700">
        <v>392373.91</v>
      </c>
      <c r="E119" s="1020"/>
      <c r="F119" s="1020"/>
      <c r="G119" s="700">
        <v>215805.65049999999</v>
      </c>
    </row>
    <row r="120" spans="1:7" hidden="1">
      <c r="A120" s="699">
        <v>118</v>
      </c>
      <c r="B120" s="702">
        <v>43735</v>
      </c>
      <c r="C120" s="701" t="s">
        <v>3486</v>
      </c>
      <c r="D120" s="700">
        <v>4575</v>
      </c>
      <c r="E120" s="1020"/>
      <c r="F120" s="1020"/>
      <c r="G120" s="700">
        <v>2516.25</v>
      </c>
    </row>
    <row r="121" spans="1:7">
      <c r="A121" s="699">
        <v>119</v>
      </c>
      <c r="B121" s="705">
        <v>43735</v>
      </c>
      <c r="C121" s="704" t="s">
        <v>3472</v>
      </c>
      <c r="D121" s="703">
        <v>93919.3</v>
      </c>
      <c r="E121" s="1020"/>
      <c r="F121" s="1020"/>
      <c r="G121" s="700">
        <v>51655.614999999998</v>
      </c>
    </row>
    <row r="122" spans="1:7">
      <c r="A122" s="699">
        <v>120</v>
      </c>
      <c r="B122" s="705">
        <v>43738</v>
      </c>
      <c r="C122" s="704" t="s">
        <v>3489</v>
      </c>
      <c r="D122" s="703">
        <v>580324</v>
      </c>
      <c r="E122" s="1020"/>
      <c r="F122" s="1020"/>
      <c r="G122" s="700">
        <v>319178.2</v>
      </c>
    </row>
    <row r="123" spans="1:7" hidden="1">
      <c r="A123" s="699">
        <v>121</v>
      </c>
      <c r="B123" s="702">
        <v>43738</v>
      </c>
      <c r="C123" s="701" t="s">
        <v>3493</v>
      </c>
      <c r="D123" s="700">
        <v>1532</v>
      </c>
      <c r="E123" s="1020"/>
      <c r="F123" s="1020"/>
      <c r="G123" s="700">
        <v>842.6</v>
      </c>
    </row>
    <row r="124" spans="1:7" hidden="1">
      <c r="A124" s="699">
        <v>122</v>
      </c>
      <c r="B124" s="702">
        <v>43746</v>
      </c>
      <c r="C124" s="701" t="s">
        <v>3480</v>
      </c>
      <c r="D124" s="700">
        <v>11057.08</v>
      </c>
      <c r="E124" s="1020">
        <v>2019.1</v>
      </c>
      <c r="F124" s="1019">
        <f>SUM(D124:D167)</f>
        <v>9436951.870000001</v>
      </c>
      <c r="G124" s="700">
        <v>6081.3940000000002</v>
      </c>
    </row>
    <row r="125" spans="1:7" hidden="1">
      <c r="A125" s="699">
        <v>123</v>
      </c>
      <c r="B125" s="702">
        <v>43746</v>
      </c>
      <c r="C125" s="701" t="s">
        <v>3492</v>
      </c>
      <c r="D125" s="700">
        <v>1817</v>
      </c>
      <c r="E125" s="1020"/>
      <c r="F125" s="1020"/>
      <c r="G125" s="700">
        <v>999.35</v>
      </c>
    </row>
    <row r="126" spans="1:7" hidden="1">
      <c r="A126" s="699">
        <v>124</v>
      </c>
      <c r="B126" s="702">
        <v>43746</v>
      </c>
      <c r="C126" s="701" t="s">
        <v>3483</v>
      </c>
      <c r="D126" s="700">
        <v>373.68</v>
      </c>
      <c r="E126" s="1020"/>
      <c r="F126" s="1020"/>
      <c r="G126" s="700">
        <v>205.524</v>
      </c>
    </row>
    <row r="127" spans="1:7" hidden="1">
      <c r="A127" s="699">
        <v>125</v>
      </c>
      <c r="B127" s="702">
        <v>43746</v>
      </c>
      <c r="C127" s="701" t="s">
        <v>3483</v>
      </c>
      <c r="D127" s="700">
        <v>158153.51</v>
      </c>
      <c r="E127" s="1020"/>
      <c r="F127" s="1020"/>
      <c r="G127" s="700">
        <v>86984.430500000002</v>
      </c>
    </row>
    <row r="128" spans="1:7" hidden="1">
      <c r="A128" s="699">
        <v>126</v>
      </c>
      <c r="B128" s="702">
        <v>43746</v>
      </c>
      <c r="C128" s="701" t="s">
        <v>3483</v>
      </c>
      <c r="D128" s="700">
        <v>48584.92</v>
      </c>
      <c r="E128" s="1020"/>
      <c r="F128" s="1020"/>
      <c r="G128" s="700">
        <v>26721.705999999998</v>
      </c>
    </row>
    <row r="129" spans="1:7" hidden="1">
      <c r="A129" s="699">
        <v>127</v>
      </c>
      <c r="B129" s="702">
        <v>43746</v>
      </c>
      <c r="C129" s="701" t="s">
        <v>3490</v>
      </c>
      <c r="D129" s="700">
        <v>6430.21</v>
      </c>
      <c r="E129" s="1020"/>
      <c r="F129" s="1020"/>
      <c r="G129" s="700">
        <v>3536.6154999999999</v>
      </c>
    </row>
    <row r="130" spans="1:7">
      <c r="A130" s="699">
        <v>128</v>
      </c>
      <c r="B130" s="705">
        <v>43746</v>
      </c>
      <c r="C130" s="704" t="s">
        <v>3472</v>
      </c>
      <c r="D130" s="703">
        <v>130366.35</v>
      </c>
      <c r="E130" s="1020"/>
      <c r="F130" s="1020"/>
      <c r="G130" s="700">
        <v>71701.492499999993</v>
      </c>
    </row>
    <row r="131" spans="1:7">
      <c r="A131" s="699">
        <v>129</v>
      </c>
      <c r="B131" s="705">
        <v>43746</v>
      </c>
      <c r="C131" s="704" t="s">
        <v>3472</v>
      </c>
      <c r="D131" s="703">
        <v>99124.5</v>
      </c>
      <c r="E131" s="1020"/>
      <c r="F131" s="1020"/>
      <c r="G131" s="700">
        <v>54518.474999999999</v>
      </c>
    </row>
    <row r="132" spans="1:7">
      <c r="A132" s="699">
        <v>130</v>
      </c>
      <c r="B132" s="705">
        <v>43746</v>
      </c>
      <c r="C132" s="704" t="s">
        <v>3472</v>
      </c>
      <c r="D132" s="703">
        <v>97217.8</v>
      </c>
      <c r="E132" s="1020"/>
      <c r="F132" s="1020"/>
      <c r="G132" s="700">
        <v>53469.79</v>
      </c>
    </row>
    <row r="133" spans="1:7">
      <c r="A133" s="699">
        <v>131</v>
      </c>
      <c r="B133" s="705">
        <v>43746</v>
      </c>
      <c r="C133" s="704" t="s">
        <v>3474</v>
      </c>
      <c r="D133" s="703">
        <v>177802.37</v>
      </c>
      <c r="E133" s="1020"/>
      <c r="F133" s="1020"/>
      <c r="G133" s="700">
        <v>97791.303499999995</v>
      </c>
    </row>
    <row r="134" spans="1:7" hidden="1">
      <c r="A134" s="699">
        <v>132</v>
      </c>
      <c r="B134" s="702">
        <v>43747</v>
      </c>
      <c r="C134" s="701" t="s">
        <v>3483</v>
      </c>
      <c r="D134" s="700">
        <v>21091.17</v>
      </c>
      <c r="E134" s="1020"/>
      <c r="F134" s="1020"/>
      <c r="G134" s="700">
        <v>11600.1435</v>
      </c>
    </row>
    <row r="135" spans="1:7">
      <c r="A135" s="699">
        <v>133</v>
      </c>
      <c r="B135" s="705">
        <v>43747</v>
      </c>
      <c r="C135" s="704" t="s">
        <v>3474</v>
      </c>
      <c r="D135" s="703">
        <v>880</v>
      </c>
      <c r="E135" s="1020"/>
      <c r="F135" s="1020"/>
      <c r="G135" s="700">
        <v>484</v>
      </c>
    </row>
    <row r="136" spans="1:7">
      <c r="A136" s="699">
        <v>134</v>
      </c>
      <c r="B136" s="705">
        <v>43747</v>
      </c>
      <c r="C136" s="704" t="s">
        <v>3474</v>
      </c>
      <c r="D136" s="703">
        <v>122717.35</v>
      </c>
      <c r="E136" s="1020"/>
      <c r="F136" s="1020"/>
      <c r="G136" s="700">
        <v>67494.542499999996</v>
      </c>
    </row>
    <row r="137" spans="1:7" hidden="1">
      <c r="A137" s="699">
        <v>135</v>
      </c>
      <c r="B137" s="702">
        <v>43748</v>
      </c>
      <c r="C137" s="701" t="s">
        <v>3499</v>
      </c>
      <c r="D137" s="700">
        <v>4777</v>
      </c>
      <c r="E137" s="1020"/>
      <c r="F137" s="1020"/>
      <c r="G137" s="700">
        <v>2627.35</v>
      </c>
    </row>
    <row r="138" spans="1:7" hidden="1">
      <c r="A138" s="699">
        <v>136</v>
      </c>
      <c r="B138" s="702">
        <v>43749</v>
      </c>
      <c r="C138" s="701" t="s">
        <v>3486</v>
      </c>
      <c r="D138" s="700">
        <v>1815</v>
      </c>
      <c r="E138" s="1020"/>
      <c r="F138" s="1020"/>
      <c r="G138" s="700">
        <v>998.25</v>
      </c>
    </row>
    <row r="139" spans="1:7" hidden="1">
      <c r="A139" s="699">
        <v>137</v>
      </c>
      <c r="B139" s="702">
        <v>43749</v>
      </c>
      <c r="C139" s="701" t="s">
        <v>3483</v>
      </c>
      <c r="D139" s="700">
        <v>20493.189999999999</v>
      </c>
      <c r="E139" s="1020"/>
      <c r="F139" s="1020"/>
      <c r="G139" s="700">
        <v>11271.254499999999</v>
      </c>
    </row>
    <row r="140" spans="1:7">
      <c r="A140" s="699">
        <v>138</v>
      </c>
      <c r="B140" s="705">
        <v>43749</v>
      </c>
      <c r="C140" s="704" t="s">
        <v>3474</v>
      </c>
      <c r="D140" s="703">
        <v>481.67</v>
      </c>
      <c r="E140" s="1020"/>
      <c r="F140" s="1020"/>
      <c r="G140" s="700">
        <v>264.91849999999999</v>
      </c>
    </row>
    <row r="141" spans="1:7">
      <c r="A141" s="699">
        <v>139</v>
      </c>
      <c r="B141" s="705">
        <v>43754</v>
      </c>
      <c r="C141" s="704" t="s">
        <v>3472</v>
      </c>
      <c r="D141" s="703">
        <v>98210</v>
      </c>
      <c r="E141" s="1020"/>
      <c r="F141" s="1020"/>
      <c r="G141" s="700">
        <v>54015.5</v>
      </c>
    </row>
    <row r="142" spans="1:7">
      <c r="A142" s="699">
        <v>140</v>
      </c>
      <c r="B142" s="705">
        <v>43754</v>
      </c>
      <c r="C142" s="704" t="s">
        <v>3472</v>
      </c>
      <c r="D142" s="703">
        <v>110107.72</v>
      </c>
      <c r="E142" s="1020"/>
      <c r="F142" s="1020"/>
      <c r="G142" s="700">
        <v>60559.245999999999</v>
      </c>
    </row>
    <row r="143" spans="1:7" hidden="1">
      <c r="A143" s="699">
        <v>141</v>
      </c>
      <c r="B143" s="702">
        <v>43755</v>
      </c>
      <c r="C143" s="701" t="s">
        <v>3483</v>
      </c>
      <c r="D143" s="700">
        <v>54301.11</v>
      </c>
      <c r="E143" s="1020"/>
      <c r="F143" s="1020"/>
      <c r="G143" s="700">
        <v>29865.610499999999</v>
      </c>
    </row>
    <row r="144" spans="1:7">
      <c r="A144" s="699">
        <v>142</v>
      </c>
      <c r="B144" s="705">
        <v>43755</v>
      </c>
      <c r="C144" s="704" t="s">
        <v>3474</v>
      </c>
      <c r="D144" s="703">
        <v>339125.71</v>
      </c>
      <c r="E144" s="1020"/>
      <c r="F144" s="1020"/>
      <c r="G144" s="700">
        <v>186519.14050000001</v>
      </c>
    </row>
    <row r="145" spans="1:7">
      <c r="A145" s="699">
        <v>143</v>
      </c>
      <c r="B145" s="705">
        <v>43755</v>
      </c>
      <c r="C145" s="704" t="s">
        <v>3472</v>
      </c>
      <c r="D145" s="703">
        <v>148908.17000000001</v>
      </c>
      <c r="E145" s="1020"/>
      <c r="F145" s="1020"/>
      <c r="G145" s="700">
        <v>81899.493499999997</v>
      </c>
    </row>
    <row r="146" spans="1:7" hidden="1">
      <c r="A146" s="699">
        <v>144</v>
      </c>
      <c r="B146" s="702">
        <v>43756</v>
      </c>
      <c r="C146" s="701" t="s">
        <v>3483</v>
      </c>
      <c r="D146" s="700">
        <v>21834.97</v>
      </c>
      <c r="E146" s="1020"/>
      <c r="F146" s="1020"/>
      <c r="G146" s="700">
        <v>12009.2335</v>
      </c>
    </row>
    <row r="147" spans="1:7" hidden="1">
      <c r="A147" s="699">
        <v>145</v>
      </c>
      <c r="B147" s="702">
        <v>43756</v>
      </c>
      <c r="C147" s="701" t="s">
        <v>3481</v>
      </c>
      <c r="D147" s="700">
        <v>2794.68</v>
      </c>
      <c r="E147" s="1020"/>
      <c r="F147" s="1020"/>
      <c r="G147" s="700">
        <v>1537.0740000000001</v>
      </c>
    </row>
    <row r="148" spans="1:7" hidden="1">
      <c r="A148" s="699">
        <v>146</v>
      </c>
      <c r="B148" s="702">
        <v>43759</v>
      </c>
      <c r="C148" s="701" t="s">
        <v>3480</v>
      </c>
      <c r="D148" s="700">
        <v>4435.8999999999996</v>
      </c>
      <c r="E148" s="1020"/>
      <c r="F148" s="1020"/>
      <c r="G148" s="700">
        <v>2439.7449999999999</v>
      </c>
    </row>
    <row r="149" spans="1:7" hidden="1">
      <c r="A149" s="699">
        <v>147</v>
      </c>
      <c r="B149" s="709">
        <v>43759</v>
      </c>
      <c r="C149" s="708" t="s">
        <v>3479</v>
      </c>
      <c r="D149" s="707">
        <v>2757657.78</v>
      </c>
      <c r="E149" s="1020"/>
      <c r="F149" s="1020"/>
      <c r="G149" s="700">
        <v>1516711.7790000001</v>
      </c>
    </row>
    <row r="150" spans="1:7" hidden="1">
      <c r="A150" s="699">
        <v>148</v>
      </c>
      <c r="B150" s="702">
        <v>43759</v>
      </c>
      <c r="C150" s="701" t="s">
        <v>3491</v>
      </c>
      <c r="D150" s="700">
        <v>200</v>
      </c>
      <c r="E150" s="1020"/>
      <c r="F150" s="1020"/>
      <c r="G150" s="700">
        <v>110</v>
      </c>
    </row>
    <row r="151" spans="1:7" hidden="1">
      <c r="A151" s="699">
        <v>149</v>
      </c>
      <c r="B151" s="702">
        <v>43759</v>
      </c>
      <c r="C151" s="701" t="s">
        <v>3498</v>
      </c>
      <c r="D151" s="700">
        <v>232712.07</v>
      </c>
      <c r="E151" s="1020"/>
      <c r="F151" s="1020"/>
      <c r="G151" s="700">
        <v>127991.6385</v>
      </c>
    </row>
    <row r="152" spans="1:7">
      <c r="A152" s="699">
        <v>150</v>
      </c>
      <c r="B152" s="705">
        <v>43760</v>
      </c>
      <c r="C152" s="704" t="s">
        <v>3472</v>
      </c>
      <c r="D152" s="703">
        <v>98</v>
      </c>
      <c r="E152" s="1020"/>
      <c r="F152" s="1020"/>
      <c r="G152" s="700">
        <v>53.9</v>
      </c>
    </row>
    <row r="153" spans="1:7" hidden="1">
      <c r="A153" s="699">
        <v>151</v>
      </c>
      <c r="B153" s="702">
        <v>43761</v>
      </c>
      <c r="C153" s="701" t="s">
        <v>3483</v>
      </c>
      <c r="D153" s="700">
        <v>41765.01</v>
      </c>
      <c r="E153" s="1020"/>
      <c r="F153" s="1020"/>
      <c r="G153" s="700">
        <v>22970.755499999999</v>
      </c>
    </row>
    <row r="154" spans="1:7">
      <c r="A154" s="699">
        <v>152</v>
      </c>
      <c r="B154" s="705">
        <v>43761</v>
      </c>
      <c r="C154" s="704" t="s">
        <v>3474</v>
      </c>
      <c r="D154" s="703">
        <v>140264.01</v>
      </c>
      <c r="E154" s="1020"/>
      <c r="F154" s="1020"/>
      <c r="G154" s="700">
        <v>77145.205499999996</v>
      </c>
    </row>
    <row r="155" spans="1:7" hidden="1">
      <c r="A155" s="699">
        <v>153</v>
      </c>
      <c r="B155" s="709">
        <v>43763</v>
      </c>
      <c r="C155" s="708" t="s">
        <v>3497</v>
      </c>
      <c r="D155" s="707">
        <v>603046.94999999995</v>
      </c>
      <c r="E155" s="1020"/>
      <c r="F155" s="1020"/>
      <c r="G155" s="700">
        <v>331675.82250000001</v>
      </c>
    </row>
    <row r="156" spans="1:7">
      <c r="A156" s="699">
        <v>154</v>
      </c>
      <c r="B156" s="705">
        <v>43763</v>
      </c>
      <c r="C156" s="704" t="s">
        <v>3472</v>
      </c>
      <c r="D156" s="703">
        <v>263333.65000000002</v>
      </c>
      <c r="E156" s="1020"/>
      <c r="F156" s="1020"/>
      <c r="G156" s="700">
        <v>144833.50750000001</v>
      </c>
    </row>
    <row r="157" spans="1:7" hidden="1">
      <c r="A157" s="699">
        <v>155</v>
      </c>
      <c r="B157" s="702">
        <v>43763</v>
      </c>
      <c r="C157" s="701" t="s">
        <v>3483</v>
      </c>
      <c r="D157" s="700">
        <v>157664.54</v>
      </c>
      <c r="E157" s="1020"/>
      <c r="F157" s="1020"/>
      <c r="G157" s="700">
        <v>86715.497000000003</v>
      </c>
    </row>
    <row r="158" spans="1:7" hidden="1">
      <c r="A158" s="699">
        <v>156</v>
      </c>
      <c r="B158" s="702">
        <v>43763</v>
      </c>
      <c r="C158" s="701" t="s">
        <v>3478</v>
      </c>
      <c r="D158" s="700">
        <v>10170.57</v>
      </c>
      <c r="E158" s="1020"/>
      <c r="F158" s="1020"/>
      <c r="G158" s="700">
        <v>5593.8135000000002</v>
      </c>
    </row>
    <row r="159" spans="1:7" hidden="1">
      <c r="A159" s="699">
        <v>157</v>
      </c>
      <c r="B159" s="702">
        <v>43763</v>
      </c>
      <c r="C159" s="701" t="s">
        <v>3476</v>
      </c>
      <c r="D159" s="700">
        <v>3128.74</v>
      </c>
      <c r="E159" s="1020"/>
      <c r="F159" s="1020"/>
      <c r="G159" s="700">
        <v>1720.807</v>
      </c>
    </row>
    <row r="160" spans="1:7" hidden="1">
      <c r="A160" s="699">
        <v>158</v>
      </c>
      <c r="B160" s="702">
        <v>43763</v>
      </c>
      <c r="C160" s="701" t="s">
        <v>3475</v>
      </c>
      <c r="D160" s="700">
        <v>320258.90999999997</v>
      </c>
      <c r="E160" s="1020"/>
      <c r="F160" s="1020"/>
      <c r="G160" s="700">
        <v>176142.40049999999</v>
      </c>
    </row>
    <row r="161" spans="1:7">
      <c r="A161" s="699">
        <v>159</v>
      </c>
      <c r="B161" s="705">
        <v>43767</v>
      </c>
      <c r="C161" s="704" t="s">
        <v>3489</v>
      </c>
      <c r="D161" s="703">
        <v>444423.97</v>
      </c>
      <c r="E161" s="1020"/>
      <c r="F161" s="1020"/>
      <c r="G161" s="700">
        <v>244433.18350000001</v>
      </c>
    </row>
    <row r="162" spans="1:7">
      <c r="A162" s="699">
        <v>160</v>
      </c>
      <c r="B162" s="705">
        <v>43767</v>
      </c>
      <c r="C162" s="704" t="s">
        <v>3472</v>
      </c>
      <c r="D162" s="703">
        <v>813.2</v>
      </c>
      <c r="E162" s="1020"/>
      <c r="F162" s="1020"/>
      <c r="G162" s="700">
        <v>447.26</v>
      </c>
    </row>
    <row r="163" spans="1:7">
      <c r="A163" s="699">
        <v>161</v>
      </c>
      <c r="B163" s="705">
        <v>43767</v>
      </c>
      <c r="C163" s="704" t="s">
        <v>3474</v>
      </c>
      <c r="D163" s="703">
        <v>126615.93</v>
      </c>
      <c r="E163" s="1020"/>
      <c r="F163" s="1020"/>
      <c r="G163" s="700">
        <v>69638.761499999993</v>
      </c>
    </row>
    <row r="164" spans="1:7" hidden="1">
      <c r="A164" s="699">
        <v>162</v>
      </c>
      <c r="B164" s="702">
        <v>43769</v>
      </c>
      <c r="C164" s="701" t="s">
        <v>3483</v>
      </c>
      <c r="D164" s="700">
        <v>29536.26</v>
      </c>
      <c r="E164" s="1020"/>
      <c r="F164" s="1020"/>
      <c r="G164" s="700">
        <v>16244.942999999999</v>
      </c>
    </row>
    <row r="165" spans="1:7" hidden="1">
      <c r="A165" s="699">
        <v>163</v>
      </c>
      <c r="B165" s="702">
        <v>43769</v>
      </c>
      <c r="C165" s="701" t="s">
        <v>3496</v>
      </c>
      <c r="D165" s="700">
        <v>1835</v>
      </c>
      <c r="E165" s="1020"/>
      <c r="F165" s="1020"/>
      <c r="G165" s="700">
        <v>1009.25</v>
      </c>
    </row>
    <row r="166" spans="1:7">
      <c r="A166" s="699">
        <v>164</v>
      </c>
      <c r="B166" s="705">
        <v>43769</v>
      </c>
      <c r="C166" s="704" t="s">
        <v>3472</v>
      </c>
      <c r="D166" s="703">
        <v>115485.08</v>
      </c>
      <c r="E166" s="1020"/>
      <c r="F166" s="1020"/>
      <c r="G166" s="700">
        <v>63516.794000000002</v>
      </c>
    </row>
    <row r="167" spans="1:7" hidden="1">
      <c r="A167" s="699">
        <v>165</v>
      </c>
      <c r="B167" s="709">
        <v>43769</v>
      </c>
      <c r="C167" s="708" t="s">
        <v>3471</v>
      </c>
      <c r="D167" s="707">
        <v>2505041.14</v>
      </c>
      <c r="E167" s="1020"/>
      <c r="F167" s="1020"/>
      <c r="G167" s="700">
        <v>1377772.6270000001</v>
      </c>
    </row>
    <row r="168" spans="1:7" hidden="1">
      <c r="A168" s="699">
        <v>166</v>
      </c>
      <c r="B168" s="702">
        <v>43774</v>
      </c>
      <c r="C168" s="701" t="s">
        <v>3480</v>
      </c>
      <c r="D168" s="700">
        <v>3464.59</v>
      </c>
      <c r="E168" s="1020">
        <v>2019.11</v>
      </c>
      <c r="F168" s="1019">
        <f>SUM(D168:D189)</f>
        <v>7110617.9900000002</v>
      </c>
      <c r="G168" s="700">
        <v>1905.5245</v>
      </c>
    </row>
    <row r="169" spans="1:7" hidden="1">
      <c r="A169" s="699">
        <v>167</v>
      </c>
      <c r="B169" s="702">
        <v>43787</v>
      </c>
      <c r="C169" s="701" t="s">
        <v>3480</v>
      </c>
      <c r="D169" s="700">
        <v>4355.6099999999997</v>
      </c>
      <c r="E169" s="1020"/>
      <c r="F169" s="1020"/>
      <c r="G169" s="700">
        <v>2395.5855000000001</v>
      </c>
    </row>
    <row r="170" spans="1:7" hidden="1">
      <c r="A170" s="699">
        <v>168</v>
      </c>
      <c r="B170" s="709">
        <v>43789</v>
      </c>
      <c r="C170" s="708" t="s">
        <v>3479</v>
      </c>
      <c r="D170" s="707">
        <v>2751752.2</v>
      </c>
      <c r="E170" s="1020"/>
      <c r="F170" s="1020"/>
      <c r="G170" s="700">
        <v>1513463.71</v>
      </c>
    </row>
    <row r="171" spans="1:7" hidden="1">
      <c r="A171" s="699">
        <v>169</v>
      </c>
      <c r="B171" s="702">
        <v>43789</v>
      </c>
      <c r="C171" s="701" t="s">
        <v>3481</v>
      </c>
      <c r="D171" s="700">
        <v>11256.74</v>
      </c>
      <c r="E171" s="1020"/>
      <c r="F171" s="1020"/>
      <c r="G171" s="700">
        <v>6191.2070000000003</v>
      </c>
    </row>
    <row r="172" spans="1:7" hidden="1">
      <c r="A172" s="699">
        <v>170</v>
      </c>
      <c r="B172" s="702">
        <v>43790</v>
      </c>
      <c r="C172" s="701" t="s">
        <v>3483</v>
      </c>
      <c r="D172" s="700">
        <v>1334.38</v>
      </c>
      <c r="E172" s="1020"/>
      <c r="F172" s="1020"/>
      <c r="G172" s="700">
        <v>733.90899999999999</v>
      </c>
    </row>
    <row r="173" spans="1:7" hidden="1">
      <c r="A173" s="699">
        <v>171</v>
      </c>
      <c r="B173" s="702">
        <v>43790</v>
      </c>
      <c r="C173" s="701" t="s">
        <v>3483</v>
      </c>
      <c r="D173" s="700">
        <v>41940.33</v>
      </c>
      <c r="E173" s="1020"/>
      <c r="F173" s="1020"/>
      <c r="G173" s="700">
        <v>23067.181499999999</v>
      </c>
    </row>
    <row r="174" spans="1:7">
      <c r="A174" s="699">
        <v>172</v>
      </c>
      <c r="B174" s="705">
        <v>43790</v>
      </c>
      <c r="C174" s="704" t="s">
        <v>3472</v>
      </c>
      <c r="D174" s="703">
        <v>135821.6</v>
      </c>
      <c r="E174" s="1020"/>
      <c r="F174" s="1020"/>
      <c r="G174" s="700">
        <v>74701.88</v>
      </c>
    </row>
    <row r="175" spans="1:7" hidden="1">
      <c r="A175" s="699">
        <v>173</v>
      </c>
      <c r="B175" s="702">
        <v>43790</v>
      </c>
      <c r="C175" s="701" t="s">
        <v>3473</v>
      </c>
      <c r="D175" s="700">
        <v>7355</v>
      </c>
      <c r="E175" s="1020"/>
      <c r="F175" s="1020"/>
      <c r="G175" s="700">
        <v>4045.25</v>
      </c>
    </row>
    <row r="176" spans="1:7" hidden="1">
      <c r="A176" s="699">
        <v>174</v>
      </c>
      <c r="B176" s="702">
        <v>43791</v>
      </c>
      <c r="C176" s="701" t="s">
        <v>3486</v>
      </c>
      <c r="D176" s="700">
        <v>1815</v>
      </c>
      <c r="E176" s="1020"/>
      <c r="F176" s="1020"/>
      <c r="G176" s="700">
        <v>998.25</v>
      </c>
    </row>
    <row r="177" spans="1:7" hidden="1">
      <c r="A177" s="699">
        <v>175</v>
      </c>
      <c r="B177" s="702">
        <v>43791</v>
      </c>
      <c r="C177" s="701" t="s">
        <v>3483</v>
      </c>
      <c r="D177" s="700">
        <v>63390.35</v>
      </c>
      <c r="E177" s="1020"/>
      <c r="F177" s="1020"/>
      <c r="G177" s="700">
        <v>34864.692499999997</v>
      </c>
    </row>
    <row r="178" spans="1:7" hidden="1">
      <c r="A178" s="699">
        <v>176</v>
      </c>
      <c r="B178" s="709">
        <v>43791</v>
      </c>
      <c r="C178" s="708" t="s">
        <v>3477</v>
      </c>
      <c r="D178" s="707">
        <v>353434.16</v>
      </c>
      <c r="E178" s="1020"/>
      <c r="F178" s="1020"/>
      <c r="G178" s="700">
        <v>194388.788</v>
      </c>
    </row>
    <row r="179" spans="1:7">
      <c r="A179" s="699">
        <v>177</v>
      </c>
      <c r="B179" s="705">
        <v>43794</v>
      </c>
      <c r="C179" s="704" t="s">
        <v>3489</v>
      </c>
      <c r="D179" s="703">
        <v>339984.96</v>
      </c>
      <c r="E179" s="1020"/>
      <c r="F179" s="1020"/>
      <c r="G179" s="700">
        <v>186991.728</v>
      </c>
    </row>
    <row r="180" spans="1:7" hidden="1">
      <c r="A180" s="699">
        <v>178</v>
      </c>
      <c r="B180" s="709">
        <v>43794</v>
      </c>
      <c r="C180" s="708" t="s">
        <v>3477</v>
      </c>
      <c r="D180" s="707">
        <v>3585</v>
      </c>
      <c r="E180" s="1020"/>
      <c r="F180" s="1020"/>
      <c r="G180" s="700">
        <v>1971.75</v>
      </c>
    </row>
    <row r="181" spans="1:7" hidden="1">
      <c r="A181" s="699">
        <v>179</v>
      </c>
      <c r="B181" s="702">
        <v>43794</v>
      </c>
      <c r="C181" s="701" t="s">
        <v>3478</v>
      </c>
      <c r="D181" s="700">
        <v>1695</v>
      </c>
      <c r="E181" s="1020"/>
      <c r="F181" s="1020"/>
      <c r="G181" s="700">
        <v>932.25</v>
      </c>
    </row>
    <row r="182" spans="1:7" hidden="1">
      <c r="A182" s="699">
        <v>180</v>
      </c>
      <c r="B182" s="702">
        <v>43794</v>
      </c>
      <c r="C182" s="701" t="s">
        <v>3475</v>
      </c>
      <c r="D182" s="700">
        <v>399062.1</v>
      </c>
      <c r="E182" s="1020"/>
      <c r="F182" s="1020"/>
      <c r="G182" s="700">
        <v>219484.155</v>
      </c>
    </row>
    <row r="183" spans="1:7">
      <c r="A183" s="699">
        <v>181</v>
      </c>
      <c r="B183" s="705">
        <v>43796</v>
      </c>
      <c r="C183" s="704" t="s">
        <v>3472</v>
      </c>
      <c r="D183" s="703">
        <v>137349.4</v>
      </c>
      <c r="E183" s="1020"/>
      <c r="F183" s="1020"/>
      <c r="G183" s="700">
        <v>75542.17</v>
      </c>
    </row>
    <row r="184" spans="1:7" hidden="1">
      <c r="A184" s="699">
        <v>182</v>
      </c>
      <c r="B184" s="702">
        <v>43796</v>
      </c>
      <c r="C184" s="701" t="s">
        <v>3483</v>
      </c>
      <c r="D184" s="700">
        <v>69291.53</v>
      </c>
      <c r="E184" s="1020"/>
      <c r="F184" s="1020"/>
      <c r="G184" s="700">
        <v>38110.341500000002</v>
      </c>
    </row>
    <row r="185" spans="1:7">
      <c r="A185" s="699">
        <v>183</v>
      </c>
      <c r="B185" s="705">
        <v>43796</v>
      </c>
      <c r="C185" s="704" t="s">
        <v>3474</v>
      </c>
      <c r="D185" s="703">
        <v>189109.35</v>
      </c>
      <c r="E185" s="1020"/>
      <c r="F185" s="1020"/>
      <c r="G185" s="700">
        <v>104010.1425</v>
      </c>
    </row>
    <row r="186" spans="1:7" hidden="1">
      <c r="A186" s="699">
        <v>184</v>
      </c>
      <c r="B186" s="702">
        <v>43798</v>
      </c>
      <c r="C186" s="701" t="s">
        <v>3486</v>
      </c>
      <c r="D186" s="700">
        <v>895</v>
      </c>
      <c r="E186" s="1020"/>
      <c r="F186" s="1020"/>
      <c r="G186" s="700">
        <v>492.25</v>
      </c>
    </row>
    <row r="187" spans="1:7">
      <c r="A187" s="699">
        <v>185</v>
      </c>
      <c r="B187" s="705">
        <v>43798</v>
      </c>
      <c r="C187" s="704" t="s">
        <v>3472</v>
      </c>
      <c r="D187" s="703">
        <v>99319.87</v>
      </c>
      <c r="E187" s="1020"/>
      <c r="F187" s="1020"/>
      <c r="G187" s="700">
        <v>54625.928500000002</v>
      </c>
    </row>
    <row r="188" spans="1:7" hidden="1">
      <c r="A188" s="699">
        <v>186</v>
      </c>
      <c r="B188" s="709">
        <v>43798</v>
      </c>
      <c r="C188" s="708" t="s">
        <v>3471</v>
      </c>
      <c r="D188" s="707">
        <v>2491668.8199999998</v>
      </c>
      <c r="E188" s="1020"/>
      <c r="F188" s="1020"/>
      <c r="G188" s="700">
        <v>1370417.851</v>
      </c>
    </row>
    <row r="189" spans="1:7" hidden="1">
      <c r="A189" s="699">
        <v>187</v>
      </c>
      <c r="B189" s="702">
        <v>43798</v>
      </c>
      <c r="C189" s="701" t="s">
        <v>3492</v>
      </c>
      <c r="D189" s="700">
        <v>2737</v>
      </c>
      <c r="E189" s="1020"/>
      <c r="F189" s="1020"/>
      <c r="G189" s="700">
        <v>1505.35</v>
      </c>
    </row>
    <row r="190" spans="1:7">
      <c r="A190" s="699">
        <v>188</v>
      </c>
      <c r="B190" s="705">
        <v>43801</v>
      </c>
      <c r="C190" s="704" t="s">
        <v>3474</v>
      </c>
      <c r="D190" s="703">
        <v>159443.64000000001</v>
      </c>
      <c r="E190" s="1020">
        <v>2019.12</v>
      </c>
      <c r="F190" s="1019">
        <f>SUM(D190:D230)</f>
        <v>9022174.5800000019</v>
      </c>
      <c r="G190" s="700">
        <v>87694.001999999993</v>
      </c>
    </row>
    <row r="191" spans="1:7" hidden="1">
      <c r="A191" s="699">
        <v>189</v>
      </c>
      <c r="B191" s="702">
        <v>43801</v>
      </c>
      <c r="C191" s="701" t="s">
        <v>3490</v>
      </c>
      <c r="D191" s="700">
        <v>7843.43</v>
      </c>
      <c r="E191" s="1020"/>
      <c r="F191" s="1020"/>
      <c r="G191" s="700">
        <v>4313.8864999999996</v>
      </c>
    </row>
    <row r="192" spans="1:7" hidden="1">
      <c r="A192" s="699">
        <v>190</v>
      </c>
      <c r="B192" s="702">
        <v>43802</v>
      </c>
      <c r="C192" s="701" t="s">
        <v>3480</v>
      </c>
      <c r="D192" s="700">
        <v>2734.76</v>
      </c>
      <c r="E192" s="1020"/>
      <c r="F192" s="1020"/>
      <c r="G192" s="700">
        <v>1504.1179999999999</v>
      </c>
    </row>
    <row r="193" spans="1:7">
      <c r="A193" s="699">
        <v>191</v>
      </c>
      <c r="B193" s="705">
        <v>43803</v>
      </c>
      <c r="C193" s="704" t="s">
        <v>3474</v>
      </c>
      <c r="D193" s="703">
        <v>199876.45</v>
      </c>
      <c r="E193" s="1020"/>
      <c r="F193" s="1020"/>
      <c r="G193" s="700">
        <v>109932.0475</v>
      </c>
    </row>
    <row r="194" spans="1:7">
      <c r="A194" s="699">
        <v>192</v>
      </c>
      <c r="B194" s="705">
        <v>43803</v>
      </c>
      <c r="C194" s="704" t="s">
        <v>3472</v>
      </c>
      <c r="D194" s="703">
        <v>106063.5</v>
      </c>
      <c r="E194" s="1020"/>
      <c r="F194" s="1020"/>
      <c r="G194" s="700">
        <v>58334.925000000003</v>
      </c>
    </row>
    <row r="195" spans="1:7" hidden="1">
      <c r="A195" s="699">
        <v>193</v>
      </c>
      <c r="B195" s="702">
        <v>43803</v>
      </c>
      <c r="C195" s="701" t="s">
        <v>3483</v>
      </c>
      <c r="D195" s="700">
        <v>10108.459999999999</v>
      </c>
      <c r="E195" s="1020"/>
      <c r="F195" s="1020"/>
      <c r="G195" s="700">
        <v>5559.6530000000002</v>
      </c>
    </row>
    <row r="196" spans="1:7" hidden="1">
      <c r="A196" s="699">
        <v>194</v>
      </c>
      <c r="B196" s="702">
        <v>43804</v>
      </c>
      <c r="C196" s="701" t="s">
        <v>3473</v>
      </c>
      <c r="D196" s="700">
        <v>3675</v>
      </c>
      <c r="E196" s="1020"/>
      <c r="F196" s="1020"/>
      <c r="G196" s="700">
        <v>2021.25</v>
      </c>
    </row>
    <row r="197" spans="1:7" hidden="1">
      <c r="A197" s="699">
        <v>195</v>
      </c>
      <c r="B197" s="702">
        <v>43804</v>
      </c>
      <c r="C197" s="701" t="s">
        <v>3486</v>
      </c>
      <c r="D197" s="700">
        <v>3655</v>
      </c>
      <c r="E197" s="1020"/>
      <c r="F197" s="1020"/>
      <c r="G197" s="700">
        <v>2010.25</v>
      </c>
    </row>
    <row r="198" spans="1:7" hidden="1">
      <c r="A198" s="699">
        <v>196</v>
      </c>
      <c r="B198" s="702">
        <v>43805</v>
      </c>
      <c r="C198" s="701" t="s">
        <v>3484</v>
      </c>
      <c r="D198" s="700">
        <v>1820</v>
      </c>
      <c r="E198" s="1020"/>
      <c r="F198" s="1020"/>
      <c r="G198" s="700">
        <v>1001</v>
      </c>
    </row>
    <row r="199" spans="1:7" hidden="1">
      <c r="A199" s="699">
        <v>197</v>
      </c>
      <c r="B199" s="702">
        <v>43805</v>
      </c>
      <c r="C199" s="701" t="s">
        <v>3483</v>
      </c>
      <c r="D199" s="700">
        <v>53896.98</v>
      </c>
      <c r="E199" s="1020"/>
      <c r="F199" s="1020"/>
      <c r="G199" s="700">
        <v>29643.339</v>
      </c>
    </row>
    <row r="200" spans="1:7">
      <c r="A200" s="699">
        <v>198</v>
      </c>
      <c r="B200" s="705">
        <v>43805</v>
      </c>
      <c r="C200" s="704" t="s">
        <v>3472</v>
      </c>
      <c r="D200" s="703">
        <v>97463.49</v>
      </c>
      <c r="E200" s="1020"/>
      <c r="F200" s="1020"/>
      <c r="G200" s="700">
        <v>53604.919500000004</v>
      </c>
    </row>
    <row r="201" spans="1:7">
      <c r="A201" s="699">
        <v>199</v>
      </c>
      <c r="B201" s="705">
        <v>43809</v>
      </c>
      <c r="C201" s="704" t="s">
        <v>3472</v>
      </c>
      <c r="D201" s="703">
        <v>95917.2</v>
      </c>
      <c r="E201" s="1020"/>
      <c r="F201" s="1020"/>
      <c r="G201" s="700">
        <v>52754.46</v>
      </c>
    </row>
    <row r="202" spans="1:7">
      <c r="A202" s="699">
        <v>200</v>
      </c>
      <c r="B202" s="705">
        <v>43810</v>
      </c>
      <c r="C202" s="704" t="s">
        <v>3474</v>
      </c>
      <c r="D202" s="703">
        <v>4424.45</v>
      </c>
      <c r="E202" s="1020"/>
      <c r="F202" s="1020"/>
      <c r="G202" s="700">
        <v>2433.4475000000002</v>
      </c>
    </row>
    <row r="203" spans="1:7" hidden="1">
      <c r="A203" s="699">
        <v>201</v>
      </c>
      <c r="B203" s="702">
        <v>43810</v>
      </c>
      <c r="C203" s="701" t="s">
        <v>3483</v>
      </c>
      <c r="D203" s="700">
        <v>37258.18</v>
      </c>
      <c r="E203" s="1020"/>
      <c r="F203" s="1020"/>
      <c r="G203" s="700">
        <v>20491.999</v>
      </c>
    </row>
    <row r="204" spans="1:7">
      <c r="A204" s="699">
        <v>202</v>
      </c>
      <c r="B204" s="705">
        <v>43811</v>
      </c>
      <c r="C204" s="704" t="s">
        <v>3487</v>
      </c>
      <c r="D204" s="703">
        <v>917299.78</v>
      </c>
      <c r="E204" s="1020"/>
      <c r="F204" s="1020"/>
      <c r="G204" s="700">
        <v>504512.39</v>
      </c>
    </row>
    <row r="205" spans="1:7">
      <c r="A205" s="699">
        <v>203</v>
      </c>
      <c r="B205" s="705">
        <v>43811</v>
      </c>
      <c r="C205" s="704" t="s">
        <v>3474</v>
      </c>
      <c r="D205" s="703">
        <v>127283.23</v>
      </c>
      <c r="E205" s="1020"/>
      <c r="F205" s="1020"/>
      <c r="G205" s="700">
        <v>70005.776500000007</v>
      </c>
    </row>
    <row r="206" spans="1:7" hidden="1">
      <c r="A206" s="699">
        <v>204</v>
      </c>
      <c r="B206" s="702">
        <v>43811</v>
      </c>
      <c r="C206" s="701" t="s">
        <v>3486</v>
      </c>
      <c r="D206" s="700">
        <v>2735</v>
      </c>
      <c r="E206" s="1020"/>
      <c r="F206" s="1020"/>
      <c r="G206" s="700">
        <v>1504.25</v>
      </c>
    </row>
    <row r="207" spans="1:7">
      <c r="A207" s="699">
        <v>205</v>
      </c>
      <c r="B207" s="705">
        <v>43811</v>
      </c>
      <c r="C207" s="704" t="s">
        <v>3472</v>
      </c>
      <c r="D207" s="703">
        <v>132106.98000000001</v>
      </c>
      <c r="E207" s="1020"/>
      <c r="F207" s="1020"/>
      <c r="G207" s="700">
        <v>72658.839000000007</v>
      </c>
    </row>
    <row r="208" spans="1:7" hidden="1">
      <c r="A208" s="699">
        <v>206</v>
      </c>
      <c r="B208" s="702">
        <v>43812</v>
      </c>
      <c r="C208" s="701" t="s">
        <v>3483</v>
      </c>
      <c r="D208" s="700">
        <v>51579.78</v>
      </c>
      <c r="E208" s="1020"/>
      <c r="F208" s="1020"/>
      <c r="G208" s="700">
        <v>28368.879000000001</v>
      </c>
    </row>
    <row r="209" spans="1:7" hidden="1">
      <c r="A209" s="699">
        <v>207</v>
      </c>
      <c r="B209" s="702">
        <v>43815</v>
      </c>
      <c r="C209" s="701" t="s">
        <v>3480</v>
      </c>
      <c r="D209" s="700">
        <v>1175</v>
      </c>
      <c r="E209" s="1020"/>
      <c r="F209" s="1020"/>
      <c r="G209" s="700">
        <v>646.25</v>
      </c>
    </row>
    <row r="210" spans="1:7" hidden="1">
      <c r="A210" s="699">
        <v>208</v>
      </c>
      <c r="B210" s="702">
        <v>43815</v>
      </c>
      <c r="C210" s="701" t="s">
        <v>3485</v>
      </c>
      <c r="D210" s="700">
        <v>1421.27</v>
      </c>
      <c r="E210" s="1020"/>
      <c r="F210" s="1020"/>
      <c r="G210" s="700">
        <v>781.69849999999997</v>
      </c>
    </row>
    <row r="211" spans="1:7" hidden="1">
      <c r="A211" s="699">
        <v>209</v>
      </c>
      <c r="B211" s="702">
        <v>43816</v>
      </c>
      <c r="C211" s="701" t="s">
        <v>3492</v>
      </c>
      <c r="D211" s="700">
        <v>897</v>
      </c>
      <c r="E211" s="1020"/>
      <c r="F211" s="1020"/>
      <c r="G211" s="700">
        <v>493.35</v>
      </c>
    </row>
    <row r="212" spans="1:7" hidden="1">
      <c r="A212" s="699">
        <v>210</v>
      </c>
      <c r="B212" s="702">
        <v>43816</v>
      </c>
      <c r="C212" s="701" t="s">
        <v>3482</v>
      </c>
      <c r="D212" s="700">
        <v>2411.64</v>
      </c>
      <c r="E212" s="1020"/>
      <c r="F212" s="1020"/>
      <c r="G212" s="700">
        <v>1326.402</v>
      </c>
    </row>
    <row r="213" spans="1:7">
      <c r="A213" s="699">
        <v>211</v>
      </c>
      <c r="B213" s="705">
        <v>43816</v>
      </c>
      <c r="C213" s="704" t="s">
        <v>3472</v>
      </c>
      <c r="D213" s="703">
        <v>129470.83</v>
      </c>
      <c r="E213" s="1020"/>
      <c r="F213" s="1020"/>
      <c r="G213" s="700">
        <v>71208.9565</v>
      </c>
    </row>
    <row r="214" spans="1:7">
      <c r="A214" s="699">
        <v>212</v>
      </c>
      <c r="B214" s="705">
        <v>43816</v>
      </c>
      <c r="C214" s="704" t="s">
        <v>3474</v>
      </c>
      <c r="D214" s="703">
        <v>110243.1</v>
      </c>
      <c r="E214" s="1020"/>
      <c r="F214" s="1020"/>
      <c r="G214" s="700">
        <v>60633.705000000002</v>
      </c>
    </row>
    <row r="215" spans="1:7">
      <c r="A215" s="699">
        <v>213</v>
      </c>
      <c r="B215" s="705">
        <v>43816</v>
      </c>
      <c r="C215" s="704" t="s">
        <v>3474</v>
      </c>
      <c r="D215" s="703">
        <v>183991.85</v>
      </c>
      <c r="E215" s="1020"/>
      <c r="F215" s="1020"/>
      <c r="G215" s="700">
        <v>101195.5175</v>
      </c>
    </row>
    <row r="216" spans="1:7">
      <c r="A216" s="699">
        <v>214</v>
      </c>
      <c r="B216" s="705">
        <v>43818</v>
      </c>
      <c r="C216" s="704" t="s">
        <v>3472</v>
      </c>
      <c r="D216" s="703">
        <v>85815.59</v>
      </c>
      <c r="E216" s="1020"/>
      <c r="F216" s="1020"/>
      <c r="G216" s="700">
        <v>51588</v>
      </c>
    </row>
    <row r="217" spans="1:7" hidden="1">
      <c r="A217" s="699">
        <v>215</v>
      </c>
      <c r="B217" s="702">
        <v>43819</v>
      </c>
      <c r="C217" s="701" t="s">
        <v>3481</v>
      </c>
      <c r="D217" s="700">
        <v>10357.370000000001</v>
      </c>
      <c r="E217" s="1020"/>
      <c r="F217" s="1020"/>
      <c r="G217" s="700">
        <v>5696.5535</v>
      </c>
    </row>
    <row r="218" spans="1:7" hidden="1">
      <c r="A218" s="699">
        <v>216</v>
      </c>
      <c r="B218" s="709">
        <v>43822</v>
      </c>
      <c r="C218" s="708" t="s">
        <v>3479</v>
      </c>
      <c r="D218" s="707">
        <v>3008626.22</v>
      </c>
      <c r="E218" s="1020"/>
      <c r="F218" s="1020"/>
      <c r="G218" s="700">
        <v>1654744.4210000001</v>
      </c>
    </row>
    <row r="219" spans="1:7" hidden="1">
      <c r="A219" s="710">
        <v>217</v>
      </c>
      <c r="B219" s="709">
        <v>43822</v>
      </c>
      <c r="C219" s="708" t="s">
        <v>3477</v>
      </c>
      <c r="D219" s="707">
        <v>623047.55000000005</v>
      </c>
      <c r="E219" s="1020"/>
      <c r="F219" s="1020"/>
      <c r="G219" s="700">
        <v>342676.15250000003</v>
      </c>
    </row>
    <row r="220" spans="1:7" hidden="1">
      <c r="A220" s="699">
        <v>218</v>
      </c>
      <c r="B220" s="702">
        <v>43822</v>
      </c>
      <c r="C220" s="701" t="s">
        <v>3475</v>
      </c>
      <c r="D220" s="700">
        <v>320277.77</v>
      </c>
      <c r="E220" s="1020"/>
      <c r="F220" s="1020"/>
      <c r="G220" s="700">
        <v>176152.77350000001</v>
      </c>
    </row>
    <row r="221" spans="1:7" hidden="1">
      <c r="A221" s="699">
        <v>219</v>
      </c>
      <c r="B221" s="702">
        <v>43823</v>
      </c>
      <c r="C221" s="701" t="s">
        <v>3476</v>
      </c>
      <c r="D221" s="700">
        <v>6244.54</v>
      </c>
      <c r="E221" s="1020"/>
      <c r="F221" s="1020"/>
      <c r="G221" s="700">
        <v>3434.4969999999998</v>
      </c>
    </row>
    <row r="222" spans="1:7">
      <c r="A222" s="699">
        <v>220</v>
      </c>
      <c r="B222" s="705">
        <v>43823</v>
      </c>
      <c r="C222" s="704" t="s">
        <v>3472</v>
      </c>
      <c r="D222" s="703">
        <v>33696.949999999997</v>
      </c>
      <c r="E222" s="1020"/>
      <c r="F222" s="1020"/>
      <c r="G222" s="700">
        <v>18533.322499999998</v>
      </c>
    </row>
    <row r="223" spans="1:7">
      <c r="A223" s="699">
        <v>221</v>
      </c>
      <c r="B223" s="705">
        <v>43825</v>
      </c>
      <c r="C223" s="704" t="s">
        <v>3472</v>
      </c>
      <c r="D223" s="703">
        <v>48932.49</v>
      </c>
      <c r="E223" s="1020"/>
      <c r="F223" s="1020"/>
      <c r="G223" s="700">
        <v>26912.869500000001</v>
      </c>
    </row>
    <row r="224" spans="1:7" hidden="1">
      <c r="A224" s="699">
        <v>222</v>
      </c>
      <c r="B224" s="709">
        <v>43825</v>
      </c>
      <c r="C224" s="708" t="s">
        <v>3471</v>
      </c>
      <c r="D224" s="707">
        <v>2246325.62</v>
      </c>
      <c r="E224" s="1020"/>
      <c r="F224" s="1020"/>
      <c r="G224" s="700">
        <v>1235479.091</v>
      </c>
    </row>
    <row r="225" spans="1:7" hidden="1">
      <c r="A225" s="699">
        <v>223</v>
      </c>
      <c r="B225" s="702">
        <v>43826</v>
      </c>
      <c r="C225" s="701" t="s">
        <v>3486</v>
      </c>
      <c r="D225" s="700">
        <v>7335</v>
      </c>
      <c r="E225" s="1020"/>
      <c r="F225" s="1020"/>
      <c r="G225" s="700">
        <v>4034.25</v>
      </c>
    </row>
    <row r="226" spans="1:7" hidden="1">
      <c r="A226" s="699">
        <v>224</v>
      </c>
      <c r="B226" s="702">
        <v>43826</v>
      </c>
      <c r="C226" s="701" t="s">
        <v>3495</v>
      </c>
      <c r="D226" s="706">
        <v>1082.5</v>
      </c>
      <c r="E226" s="1020"/>
      <c r="F226" s="1020"/>
      <c r="G226" s="706">
        <v>1082.5</v>
      </c>
    </row>
    <row r="227" spans="1:7">
      <c r="A227" s="699">
        <v>225</v>
      </c>
      <c r="B227" s="705">
        <v>43826</v>
      </c>
      <c r="C227" s="704" t="s">
        <v>3474</v>
      </c>
      <c r="D227" s="703">
        <v>80852.160000000003</v>
      </c>
      <c r="E227" s="1020"/>
      <c r="F227" s="1020"/>
      <c r="G227" s="700">
        <v>44468.688000000002</v>
      </c>
    </row>
    <row r="228" spans="1:7" hidden="1">
      <c r="A228" s="699">
        <v>226</v>
      </c>
      <c r="B228" s="702">
        <v>43830</v>
      </c>
      <c r="C228" s="701" t="s">
        <v>3482</v>
      </c>
      <c r="D228" s="700">
        <v>872.66</v>
      </c>
      <c r="E228" s="1020"/>
      <c r="F228" s="1020"/>
      <c r="G228" s="700">
        <v>479.96300000000002</v>
      </c>
    </row>
    <row r="229" spans="1:7">
      <c r="A229" s="699">
        <v>227</v>
      </c>
      <c r="B229" s="705">
        <v>43830</v>
      </c>
      <c r="C229" s="704" t="s">
        <v>3472</v>
      </c>
      <c r="D229" s="703">
        <v>86501.3</v>
      </c>
      <c r="E229" s="1020"/>
      <c r="F229" s="1020"/>
      <c r="G229" s="700">
        <v>47575.714999999997</v>
      </c>
    </row>
    <row r="230" spans="1:7" hidden="1">
      <c r="A230" s="699">
        <v>228</v>
      </c>
      <c r="B230" s="702">
        <v>43830</v>
      </c>
      <c r="C230" s="701" t="s">
        <v>3490</v>
      </c>
      <c r="D230" s="700">
        <v>17410.86</v>
      </c>
      <c r="E230" s="1020"/>
      <c r="F230" s="1020"/>
      <c r="G230" s="700">
        <v>9575.973</v>
      </c>
    </row>
    <row r="231" spans="1:7" hidden="1">
      <c r="A231" s="699"/>
      <c r="B231" s="1022" t="s">
        <v>3470</v>
      </c>
      <c r="C231" s="1023"/>
      <c r="D231" s="687">
        <f>SUM(D3:D230)</f>
        <v>56497578.44000002</v>
      </c>
      <c r="E231" s="686"/>
      <c r="F231" s="686"/>
      <c r="G231" s="698">
        <f>SUM(G3:G230)</f>
        <v>31078542.203500032</v>
      </c>
    </row>
    <row r="232" spans="1:7" hidden="1">
      <c r="A232" s="692">
        <v>1</v>
      </c>
      <c r="B232" s="696">
        <v>43832</v>
      </c>
      <c r="C232" s="692" t="s">
        <v>3491</v>
      </c>
      <c r="D232" s="688">
        <v>968</v>
      </c>
      <c r="E232" s="1024">
        <v>2020.01</v>
      </c>
      <c r="F232" s="1027">
        <f>SUM(D232:D256)</f>
        <v>5885059.4600000009</v>
      </c>
      <c r="G232" s="688">
        <v>532.4</v>
      </c>
    </row>
    <row r="233" spans="1:7" hidden="1">
      <c r="A233" s="692">
        <v>2</v>
      </c>
      <c r="B233" s="696">
        <v>43832</v>
      </c>
      <c r="C233" s="692" t="s">
        <v>3483</v>
      </c>
      <c r="D233" s="688">
        <v>243231.55</v>
      </c>
      <c r="E233" s="1025"/>
      <c r="F233" s="1028"/>
      <c r="G233" s="688">
        <v>133777.35250000001</v>
      </c>
    </row>
    <row r="234" spans="1:7">
      <c r="A234" s="692">
        <v>3</v>
      </c>
      <c r="B234" s="695">
        <v>43832</v>
      </c>
      <c r="C234" s="694" t="s">
        <v>3472</v>
      </c>
      <c r="D234" s="693">
        <v>75162.649999999994</v>
      </c>
      <c r="E234" s="1025"/>
      <c r="F234" s="1028"/>
      <c r="G234" s="688">
        <v>41339.457499999997</v>
      </c>
    </row>
    <row r="235" spans="1:7">
      <c r="A235" s="692">
        <v>4</v>
      </c>
      <c r="B235" s="695">
        <v>43832</v>
      </c>
      <c r="C235" s="694" t="s">
        <v>3489</v>
      </c>
      <c r="D235" s="693">
        <v>565305.46</v>
      </c>
      <c r="E235" s="1025"/>
      <c r="F235" s="1028"/>
      <c r="G235" s="688">
        <v>310918.00300000003</v>
      </c>
    </row>
    <row r="236" spans="1:7" hidden="1">
      <c r="A236" s="692">
        <v>5</v>
      </c>
      <c r="B236" s="696">
        <v>43837</v>
      </c>
      <c r="C236" s="692" t="s">
        <v>3483</v>
      </c>
      <c r="D236" s="688">
        <v>38464.86</v>
      </c>
      <c r="E236" s="1025"/>
      <c r="F236" s="1028"/>
      <c r="G236" s="688">
        <v>21155.672999999999</v>
      </c>
    </row>
    <row r="237" spans="1:7" hidden="1">
      <c r="A237" s="692">
        <v>6</v>
      </c>
      <c r="B237" s="696">
        <v>43837</v>
      </c>
      <c r="C237" s="692" t="s">
        <v>3480</v>
      </c>
      <c r="D237" s="688">
        <v>1662.21</v>
      </c>
      <c r="E237" s="1025"/>
      <c r="F237" s="1028"/>
      <c r="G237" s="688">
        <v>914.21550000000002</v>
      </c>
    </row>
    <row r="238" spans="1:7">
      <c r="A238" s="692">
        <v>7</v>
      </c>
      <c r="B238" s="695">
        <v>43837</v>
      </c>
      <c r="C238" s="694" t="s">
        <v>3472</v>
      </c>
      <c r="D238" s="693">
        <v>23153.3</v>
      </c>
      <c r="E238" s="1025"/>
      <c r="F238" s="1028"/>
      <c r="G238" s="688">
        <v>12734.315000000001</v>
      </c>
    </row>
    <row r="239" spans="1:7" hidden="1">
      <c r="A239" s="692">
        <v>8</v>
      </c>
      <c r="B239" s="696">
        <v>43838</v>
      </c>
      <c r="C239" s="692" t="s">
        <v>3483</v>
      </c>
      <c r="D239" s="688">
        <v>16603.54</v>
      </c>
      <c r="E239" s="1025"/>
      <c r="F239" s="1028"/>
      <c r="G239" s="688">
        <v>9131.9470000000001</v>
      </c>
    </row>
    <row r="240" spans="1:7">
      <c r="A240" s="692">
        <v>9</v>
      </c>
      <c r="B240" s="695">
        <v>43838</v>
      </c>
      <c r="C240" s="694" t="s">
        <v>3474</v>
      </c>
      <c r="D240" s="693">
        <v>543581.73</v>
      </c>
      <c r="E240" s="1025"/>
      <c r="F240" s="1028"/>
      <c r="G240" s="688">
        <v>298637</v>
      </c>
    </row>
    <row r="241" spans="1:7">
      <c r="A241" s="692">
        <v>10</v>
      </c>
      <c r="B241" s="695">
        <v>43838</v>
      </c>
      <c r="C241" s="694" t="s">
        <v>3474</v>
      </c>
      <c r="D241" s="693">
        <v>1780</v>
      </c>
      <c r="E241" s="1025"/>
      <c r="F241" s="1028"/>
      <c r="G241" s="688">
        <v>979</v>
      </c>
    </row>
    <row r="242" spans="1:7">
      <c r="A242" s="692">
        <v>11</v>
      </c>
      <c r="B242" s="695">
        <v>43839</v>
      </c>
      <c r="C242" s="694" t="s">
        <v>3472</v>
      </c>
      <c r="D242" s="693">
        <v>132882.32999999999</v>
      </c>
      <c r="E242" s="1025"/>
      <c r="F242" s="1028"/>
      <c r="G242" s="688">
        <v>73085.281499999997</v>
      </c>
    </row>
    <row r="243" spans="1:7" hidden="1">
      <c r="A243" s="692">
        <v>12</v>
      </c>
      <c r="B243" s="696">
        <v>43840</v>
      </c>
      <c r="C243" s="692" t="s">
        <v>3483</v>
      </c>
      <c r="D243" s="688">
        <v>40480.93</v>
      </c>
      <c r="E243" s="1025"/>
      <c r="F243" s="1028"/>
      <c r="G243" s="688">
        <v>22264.511500000001</v>
      </c>
    </row>
    <row r="244" spans="1:7">
      <c r="A244" s="692">
        <v>13</v>
      </c>
      <c r="B244" s="695">
        <v>43844</v>
      </c>
      <c r="C244" s="694" t="s">
        <v>3487</v>
      </c>
      <c r="D244" s="693">
        <v>893503.53</v>
      </c>
      <c r="E244" s="1025"/>
      <c r="F244" s="1028"/>
      <c r="G244" s="688">
        <v>491426.94150000002</v>
      </c>
    </row>
    <row r="245" spans="1:7">
      <c r="A245" s="692">
        <v>14</v>
      </c>
      <c r="B245" s="695">
        <v>43844</v>
      </c>
      <c r="C245" s="694" t="s">
        <v>3472</v>
      </c>
      <c r="D245" s="693">
        <v>99027.37</v>
      </c>
      <c r="E245" s="1025"/>
      <c r="F245" s="1028"/>
      <c r="G245" s="688">
        <v>54465.053500000002</v>
      </c>
    </row>
    <row r="246" spans="1:7" hidden="1">
      <c r="A246" s="692">
        <v>15</v>
      </c>
      <c r="B246" s="696">
        <v>43846</v>
      </c>
      <c r="C246" s="692" t="s">
        <v>3483</v>
      </c>
      <c r="D246" s="688">
        <v>65274.69</v>
      </c>
      <c r="E246" s="1025"/>
      <c r="F246" s="1028"/>
      <c r="G246" s="688">
        <v>35901.0795</v>
      </c>
    </row>
    <row r="247" spans="1:7">
      <c r="A247" s="692">
        <v>16</v>
      </c>
      <c r="B247" s="695">
        <v>43846</v>
      </c>
      <c r="C247" s="694" t="s">
        <v>3474</v>
      </c>
      <c r="D247" s="693">
        <v>109227.23</v>
      </c>
      <c r="E247" s="1025"/>
      <c r="F247" s="1028"/>
      <c r="G247" s="688">
        <v>60074.976499999997</v>
      </c>
    </row>
    <row r="248" spans="1:7" hidden="1">
      <c r="A248" s="692">
        <v>17</v>
      </c>
      <c r="B248" s="696">
        <v>43846</v>
      </c>
      <c r="C248" s="692" t="s">
        <v>3485</v>
      </c>
      <c r="D248" s="688">
        <v>663.07</v>
      </c>
      <c r="E248" s="1025"/>
      <c r="F248" s="1028"/>
      <c r="G248" s="688">
        <v>364.68849999999998</v>
      </c>
    </row>
    <row r="249" spans="1:7" hidden="1">
      <c r="A249" s="692">
        <v>18</v>
      </c>
      <c r="B249" s="696">
        <v>43847</v>
      </c>
      <c r="C249" s="692" t="s">
        <v>3483</v>
      </c>
      <c r="D249" s="688">
        <v>36231.449999999997</v>
      </c>
      <c r="E249" s="1025"/>
      <c r="F249" s="1028"/>
      <c r="G249" s="688">
        <v>19927.297500000001</v>
      </c>
    </row>
    <row r="250" spans="1:7">
      <c r="A250" s="692">
        <v>19</v>
      </c>
      <c r="B250" s="695">
        <v>43847</v>
      </c>
      <c r="C250" s="694" t="s">
        <v>3472</v>
      </c>
      <c r="D250" s="693">
        <v>148181.89000000001</v>
      </c>
      <c r="E250" s="1025"/>
      <c r="F250" s="1028"/>
      <c r="G250" s="688">
        <v>72247</v>
      </c>
    </row>
    <row r="251" spans="1:7" hidden="1">
      <c r="A251" s="692">
        <v>20</v>
      </c>
      <c r="B251" s="696">
        <v>43847</v>
      </c>
      <c r="C251" s="692" t="s">
        <v>3481</v>
      </c>
      <c r="D251" s="688">
        <v>23764.93</v>
      </c>
      <c r="E251" s="1025"/>
      <c r="F251" s="1028"/>
      <c r="G251" s="688">
        <v>13070.711499999999</v>
      </c>
    </row>
    <row r="252" spans="1:7" hidden="1">
      <c r="A252" s="690">
        <v>21</v>
      </c>
      <c r="B252" s="691">
        <v>43851</v>
      </c>
      <c r="C252" s="690" t="s">
        <v>3479</v>
      </c>
      <c r="D252" s="689">
        <v>2498399.16</v>
      </c>
      <c r="E252" s="1025"/>
      <c r="F252" s="1028"/>
      <c r="G252" s="688">
        <v>1374119.5379999999</v>
      </c>
    </row>
    <row r="253" spans="1:7" hidden="1">
      <c r="A253" s="692">
        <v>22</v>
      </c>
      <c r="B253" s="696">
        <v>43852</v>
      </c>
      <c r="C253" s="692" t="s">
        <v>3484</v>
      </c>
      <c r="D253" s="688">
        <v>1820</v>
      </c>
      <c r="E253" s="1025"/>
      <c r="F253" s="1028"/>
      <c r="G253" s="688">
        <v>1001</v>
      </c>
    </row>
    <row r="254" spans="1:7" hidden="1">
      <c r="A254" s="692">
        <v>23</v>
      </c>
      <c r="B254" s="696">
        <v>43852</v>
      </c>
      <c r="C254" s="692" t="s">
        <v>3483</v>
      </c>
      <c r="D254" s="688">
        <v>85834.69</v>
      </c>
      <c r="E254" s="1025"/>
      <c r="F254" s="1028"/>
      <c r="G254" s="688">
        <v>47209.0795</v>
      </c>
    </row>
    <row r="255" spans="1:7">
      <c r="A255" s="692">
        <v>24</v>
      </c>
      <c r="B255" s="695">
        <v>43852</v>
      </c>
      <c r="C255" s="694" t="s">
        <v>3472</v>
      </c>
      <c r="D255" s="693">
        <v>119142.8</v>
      </c>
      <c r="E255" s="1025"/>
      <c r="F255" s="1028"/>
      <c r="G255" s="688">
        <v>65528.54</v>
      </c>
    </row>
    <row r="256" spans="1:7">
      <c r="A256" s="692">
        <v>25</v>
      </c>
      <c r="B256" s="695">
        <v>43852</v>
      </c>
      <c r="C256" s="694" t="s">
        <v>3474</v>
      </c>
      <c r="D256" s="693">
        <v>120712.09</v>
      </c>
      <c r="E256" s="1026"/>
      <c r="F256" s="1029"/>
      <c r="G256" s="688">
        <v>66391.6495</v>
      </c>
    </row>
    <row r="257" spans="1:7" hidden="1">
      <c r="A257" s="692">
        <v>26</v>
      </c>
      <c r="B257" s="696">
        <v>43865</v>
      </c>
      <c r="C257" s="692" t="s">
        <v>3476</v>
      </c>
      <c r="D257" s="688">
        <v>8422.24</v>
      </c>
      <c r="E257" s="1024">
        <v>2020.02</v>
      </c>
      <c r="F257" s="1027">
        <f>SUM(D257:D309)</f>
        <v>13784129.000000002</v>
      </c>
      <c r="G257" s="688">
        <v>4632.232</v>
      </c>
    </row>
    <row r="258" spans="1:7" hidden="1">
      <c r="A258" s="692">
        <v>27</v>
      </c>
      <c r="B258" s="691">
        <v>43866</v>
      </c>
      <c r="C258" s="690" t="s">
        <v>3471</v>
      </c>
      <c r="D258" s="689">
        <v>2333238.29</v>
      </c>
      <c r="E258" s="1025"/>
      <c r="F258" s="1028"/>
      <c r="G258" s="688">
        <v>1255241</v>
      </c>
    </row>
    <row r="259" spans="1:7">
      <c r="A259" s="692">
        <v>28</v>
      </c>
      <c r="B259" s="695">
        <v>43871</v>
      </c>
      <c r="C259" s="694" t="s">
        <v>3474</v>
      </c>
      <c r="D259" s="693">
        <v>90010.01</v>
      </c>
      <c r="E259" s="1025"/>
      <c r="F259" s="1028"/>
      <c r="G259" s="688">
        <v>49505.505499999999</v>
      </c>
    </row>
    <row r="260" spans="1:7" hidden="1">
      <c r="A260" s="692">
        <v>29</v>
      </c>
      <c r="B260" s="696">
        <v>43871</v>
      </c>
      <c r="C260" s="692" t="s">
        <v>3475</v>
      </c>
      <c r="D260" s="688">
        <v>164904.82999999999</v>
      </c>
      <c r="E260" s="1025"/>
      <c r="F260" s="1028"/>
      <c r="G260" s="688">
        <v>90697.656499999997</v>
      </c>
    </row>
    <row r="261" spans="1:7" hidden="1">
      <c r="A261" s="692">
        <v>30</v>
      </c>
      <c r="B261" s="696">
        <v>43871</v>
      </c>
      <c r="C261" s="692" t="s">
        <v>3483</v>
      </c>
      <c r="D261" s="688">
        <v>47730.62</v>
      </c>
      <c r="E261" s="1025"/>
      <c r="F261" s="1028"/>
      <c r="G261" s="688">
        <v>26252</v>
      </c>
    </row>
    <row r="262" spans="1:7" hidden="1">
      <c r="A262" s="690">
        <v>31</v>
      </c>
      <c r="B262" s="691">
        <v>43871</v>
      </c>
      <c r="C262" s="690" t="s">
        <v>3477</v>
      </c>
      <c r="D262" s="689">
        <v>32985</v>
      </c>
      <c r="E262" s="1025"/>
      <c r="F262" s="1028"/>
      <c r="G262" s="688">
        <v>18141.75</v>
      </c>
    </row>
    <row r="263" spans="1:7" hidden="1">
      <c r="A263" s="690">
        <v>32</v>
      </c>
      <c r="B263" s="691">
        <v>43871</v>
      </c>
      <c r="C263" s="690" t="s">
        <v>3477</v>
      </c>
      <c r="D263" s="689">
        <v>723475.13</v>
      </c>
      <c r="E263" s="1025"/>
      <c r="F263" s="1028"/>
      <c r="G263" s="688">
        <v>397911.32150000002</v>
      </c>
    </row>
    <row r="264" spans="1:7" hidden="1">
      <c r="A264" s="692">
        <v>33</v>
      </c>
      <c r="B264" s="696">
        <v>43871</v>
      </c>
      <c r="C264" s="692" t="s">
        <v>3483</v>
      </c>
      <c r="D264" s="688">
        <v>15802.54</v>
      </c>
      <c r="E264" s="1025"/>
      <c r="F264" s="1028"/>
      <c r="G264" s="688">
        <v>8691.3970000000008</v>
      </c>
    </row>
    <row r="265" spans="1:7">
      <c r="A265" s="692">
        <v>34</v>
      </c>
      <c r="B265" s="695">
        <v>43871</v>
      </c>
      <c r="C265" s="694" t="s">
        <v>3472</v>
      </c>
      <c r="D265" s="693">
        <v>78054.83</v>
      </c>
      <c r="E265" s="1025"/>
      <c r="F265" s="1028"/>
      <c r="G265" s="688">
        <v>42930.156499999997</v>
      </c>
    </row>
    <row r="266" spans="1:7">
      <c r="A266" s="692">
        <v>35</v>
      </c>
      <c r="B266" s="695">
        <v>43871</v>
      </c>
      <c r="C266" s="694" t="s">
        <v>3472</v>
      </c>
      <c r="D266" s="693">
        <v>106330.38</v>
      </c>
      <c r="E266" s="1025"/>
      <c r="F266" s="1028"/>
      <c r="G266" s="688">
        <v>58481.709000000003</v>
      </c>
    </row>
    <row r="267" spans="1:7">
      <c r="A267" s="692">
        <v>36</v>
      </c>
      <c r="B267" s="695">
        <v>43871</v>
      </c>
      <c r="C267" s="694" t="s">
        <v>3472</v>
      </c>
      <c r="D267" s="693">
        <v>123866.73</v>
      </c>
      <c r="E267" s="1025"/>
      <c r="F267" s="1028"/>
      <c r="G267" s="688">
        <v>68126.701499999996</v>
      </c>
    </row>
    <row r="268" spans="1:7">
      <c r="A268" s="692">
        <v>37</v>
      </c>
      <c r="B268" s="695">
        <v>43871</v>
      </c>
      <c r="C268" s="694" t="s">
        <v>3474</v>
      </c>
      <c r="D268" s="693">
        <v>104826.25</v>
      </c>
      <c r="E268" s="1025"/>
      <c r="F268" s="1028"/>
      <c r="G268" s="688">
        <v>57654.4375</v>
      </c>
    </row>
    <row r="269" spans="1:7" hidden="1">
      <c r="A269" s="692">
        <v>38</v>
      </c>
      <c r="B269" s="696">
        <v>43871</v>
      </c>
      <c r="C269" s="692" t="s">
        <v>3490</v>
      </c>
      <c r="D269" s="688">
        <v>28086.69</v>
      </c>
      <c r="E269" s="1025"/>
      <c r="F269" s="1028"/>
      <c r="G269" s="688">
        <v>15447.6795</v>
      </c>
    </row>
    <row r="270" spans="1:7">
      <c r="A270" s="692">
        <v>39</v>
      </c>
      <c r="B270" s="695">
        <v>43871</v>
      </c>
      <c r="C270" s="694" t="s">
        <v>3489</v>
      </c>
      <c r="D270" s="693">
        <v>466758.93</v>
      </c>
      <c r="E270" s="1025"/>
      <c r="F270" s="1028"/>
      <c r="G270" s="688">
        <v>256731</v>
      </c>
    </row>
    <row r="271" spans="1:7" hidden="1">
      <c r="A271" s="692">
        <v>40</v>
      </c>
      <c r="B271" s="696">
        <v>43871</v>
      </c>
      <c r="C271" s="692" t="s">
        <v>3483</v>
      </c>
      <c r="D271" s="688">
        <v>600</v>
      </c>
      <c r="E271" s="1025"/>
      <c r="F271" s="1028"/>
      <c r="G271" s="688">
        <v>330</v>
      </c>
    </row>
    <row r="272" spans="1:7">
      <c r="A272" s="692">
        <v>41</v>
      </c>
      <c r="B272" s="695">
        <v>43871</v>
      </c>
      <c r="C272" s="694" t="s">
        <v>3472</v>
      </c>
      <c r="D272" s="693">
        <v>114173.71</v>
      </c>
      <c r="E272" s="1025"/>
      <c r="F272" s="1028"/>
      <c r="G272" s="688">
        <v>62795.540500000003</v>
      </c>
    </row>
    <row r="273" spans="1:7" hidden="1">
      <c r="A273" s="692">
        <v>42</v>
      </c>
      <c r="B273" s="696">
        <v>43871</v>
      </c>
      <c r="C273" s="692" t="s">
        <v>3480</v>
      </c>
      <c r="D273" s="688">
        <v>3934.73</v>
      </c>
      <c r="E273" s="1025"/>
      <c r="F273" s="1028"/>
      <c r="G273" s="688">
        <v>2164.1015000000002</v>
      </c>
    </row>
    <row r="274" spans="1:7" hidden="1">
      <c r="A274" s="692">
        <v>43</v>
      </c>
      <c r="B274" s="696">
        <v>43872</v>
      </c>
      <c r="C274" s="692" t="s">
        <v>3480</v>
      </c>
      <c r="D274" s="688">
        <v>4363.95</v>
      </c>
      <c r="E274" s="1025"/>
      <c r="F274" s="1028"/>
      <c r="G274" s="688">
        <v>2400.1725000000001</v>
      </c>
    </row>
    <row r="275" spans="1:7">
      <c r="A275" s="692">
        <v>44</v>
      </c>
      <c r="B275" s="695">
        <v>43873</v>
      </c>
      <c r="C275" s="694" t="s">
        <v>3487</v>
      </c>
      <c r="D275" s="693">
        <v>1356824.13</v>
      </c>
      <c r="E275" s="1025"/>
      <c r="F275" s="1028"/>
      <c r="G275" s="688">
        <v>746253.27150000003</v>
      </c>
    </row>
    <row r="276" spans="1:7" hidden="1">
      <c r="A276" s="692">
        <v>45</v>
      </c>
      <c r="B276" s="696">
        <v>43873</v>
      </c>
      <c r="C276" s="692" t="s">
        <v>3483</v>
      </c>
      <c r="D276" s="688">
        <v>62831.49</v>
      </c>
      <c r="E276" s="1025"/>
      <c r="F276" s="1028"/>
      <c r="G276" s="688">
        <v>34557.319499999998</v>
      </c>
    </row>
    <row r="277" spans="1:7" hidden="1">
      <c r="A277" s="690">
        <v>46</v>
      </c>
      <c r="B277" s="691">
        <v>43873</v>
      </c>
      <c r="C277" s="690" t="s">
        <v>3477</v>
      </c>
      <c r="D277" s="689">
        <v>425143.58</v>
      </c>
      <c r="E277" s="1025"/>
      <c r="F277" s="1028"/>
      <c r="G277" s="688">
        <v>233828.96900000001</v>
      </c>
    </row>
    <row r="278" spans="1:7">
      <c r="A278" s="692">
        <v>47</v>
      </c>
      <c r="B278" s="695">
        <v>43873</v>
      </c>
      <c r="C278" s="694" t="s">
        <v>3472</v>
      </c>
      <c r="D278" s="693">
        <v>153613.73000000001</v>
      </c>
      <c r="E278" s="1025"/>
      <c r="F278" s="1028"/>
      <c r="G278" s="688">
        <v>84487.551500000001</v>
      </c>
    </row>
    <row r="279" spans="1:7">
      <c r="A279" s="692">
        <v>48</v>
      </c>
      <c r="B279" s="695">
        <v>43873</v>
      </c>
      <c r="C279" s="694" t="s">
        <v>3474</v>
      </c>
      <c r="D279" s="693">
        <v>2680</v>
      </c>
      <c r="E279" s="1025"/>
      <c r="F279" s="1028"/>
      <c r="G279" s="688">
        <v>1474</v>
      </c>
    </row>
    <row r="280" spans="1:7">
      <c r="A280" s="692">
        <v>49</v>
      </c>
      <c r="B280" s="695">
        <v>43873</v>
      </c>
      <c r="C280" s="694" t="s">
        <v>3474</v>
      </c>
      <c r="D280" s="693">
        <v>122130.45</v>
      </c>
      <c r="E280" s="1025"/>
      <c r="F280" s="1028"/>
      <c r="G280" s="688">
        <v>67171.747499999998</v>
      </c>
    </row>
    <row r="281" spans="1:7">
      <c r="A281" s="692">
        <v>50</v>
      </c>
      <c r="B281" s="695">
        <v>43873</v>
      </c>
      <c r="C281" s="694" t="s">
        <v>3472</v>
      </c>
      <c r="D281" s="693">
        <v>117415.5</v>
      </c>
      <c r="E281" s="1025"/>
      <c r="F281" s="1028"/>
      <c r="G281" s="688">
        <v>64578.525000000001</v>
      </c>
    </row>
    <row r="282" spans="1:7" hidden="1">
      <c r="A282" s="692">
        <v>51</v>
      </c>
      <c r="B282" s="696">
        <v>43873</v>
      </c>
      <c r="C282" s="692" t="s">
        <v>3488</v>
      </c>
      <c r="D282" s="688">
        <v>920</v>
      </c>
      <c r="E282" s="1025"/>
      <c r="F282" s="1028"/>
      <c r="G282" s="688">
        <v>506</v>
      </c>
    </row>
    <row r="283" spans="1:7">
      <c r="A283" s="692">
        <v>52</v>
      </c>
      <c r="B283" s="695">
        <v>43875</v>
      </c>
      <c r="C283" s="694" t="s">
        <v>3472</v>
      </c>
      <c r="D283" s="693">
        <v>155641.79999999999</v>
      </c>
      <c r="E283" s="1025"/>
      <c r="F283" s="1028"/>
      <c r="G283" s="688">
        <v>85602.99</v>
      </c>
    </row>
    <row r="284" spans="1:7" hidden="1">
      <c r="A284" s="692">
        <v>53</v>
      </c>
      <c r="B284" s="696">
        <v>43875</v>
      </c>
      <c r="C284" s="692" t="s">
        <v>3483</v>
      </c>
      <c r="D284" s="688">
        <v>51704.21</v>
      </c>
      <c r="E284" s="1025"/>
      <c r="F284" s="1028"/>
      <c r="G284" s="688">
        <v>28437.315500000001</v>
      </c>
    </row>
    <row r="285" spans="1:7">
      <c r="A285" s="692">
        <v>54</v>
      </c>
      <c r="B285" s="695">
        <v>43875</v>
      </c>
      <c r="C285" s="694" t="s">
        <v>3474</v>
      </c>
      <c r="D285" s="693">
        <v>257907.69</v>
      </c>
      <c r="E285" s="1025"/>
      <c r="F285" s="1028"/>
      <c r="G285" s="688">
        <v>141849.22949999999</v>
      </c>
    </row>
    <row r="286" spans="1:7" hidden="1">
      <c r="A286" s="692">
        <v>55</v>
      </c>
      <c r="B286" s="696">
        <v>43878</v>
      </c>
      <c r="C286" s="692" t="s">
        <v>3483</v>
      </c>
      <c r="D286" s="688">
        <v>46838.15</v>
      </c>
      <c r="E286" s="1025"/>
      <c r="F286" s="1028"/>
      <c r="G286" s="688">
        <v>25760.982499999998</v>
      </c>
    </row>
    <row r="287" spans="1:7">
      <c r="A287" s="692">
        <v>56</v>
      </c>
      <c r="B287" s="695">
        <v>43880</v>
      </c>
      <c r="C287" s="694" t="s">
        <v>3472</v>
      </c>
      <c r="D287" s="693">
        <v>135658.1</v>
      </c>
      <c r="E287" s="1025"/>
      <c r="F287" s="1028"/>
      <c r="G287" s="688">
        <v>74611.955000000002</v>
      </c>
    </row>
    <row r="288" spans="1:7" hidden="1">
      <c r="A288" s="692">
        <v>57</v>
      </c>
      <c r="B288" s="696">
        <v>43880</v>
      </c>
      <c r="C288" s="692" t="s">
        <v>3483</v>
      </c>
      <c r="D288" s="688">
        <v>44433.37</v>
      </c>
      <c r="E288" s="1025"/>
      <c r="F288" s="1028"/>
      <c r="G288" s="688">
        <v>24438.353500000001</v>
      </c>
    </row>
    <row r="289" spans="1:7" hidden="1">
      <c r="A289" s="692">
        <v>58</v>
      </c>
      <c r="B289" s="696">
        <v>43881</v>
      </c>
      <c r="C289" s="692" t="s">
        <v>3494</v>
      </c>
      <c r="D289" s="688">
        <v>953.5</v>
      </c>
      <c r="E289" s="1025"/>
      <c r="F289" s="1028"/>
      <c r="G289" s="688">
        <v>524.42499999999995</v>
      </c>
    </row>
    <row r="290" spans="1:7" hidden="1">
      <c r="A290" s="690">
        <v>59</v>
      </c>
      <c r="B290" s="691">
        <v>43881</v>
      </c>
      <c r="C290" s="690" t="s">
        <v>3479</v>
      </c>
      <c r="D290" s="689">
        <v>2574235.84</v>
      </c>
      <c r="E290" s="1025"/>
      <c r="F290" s="1028"/>
      <c r="G290" s="688">
        <v>1415829.7120000001</v>
      </c>
    </row>
    <row r="291" spans="1:7" hidden="1">
      <c r="A291" s="692">
        <v>60</v>
      </c>
      <c r="B291" s="696">
        <v>43881</v>
      </c>
      <c r="C291" s="692" t="s">
        <v>3481</v>
      </c>
      <c r="D291" s="688">
        <v>3882.13</v>
      </c>
      <c r="E291" s="1025"/>
      <c r="F291" s="1028"/>
      <c r="G291" s="688">
        <v>2135.1714999999999</v>
      </c>
    </row>
    <row r="292" spans="1:7">
      <c r="A292" s="692">
        <v>61</v>
      </c>
      <c r="B292" s="695">
        <v>43882</v>
      </c>
      <c r="C292" s="694" t="s">
        <v>3472</v>
      </c>
      <c r="D292" s="693">
        <v>74668.600000000006</v>
      </c>
      <c r="E292" s="1025"/>
      <c r="F292" s="1028"/>
      <c r="G292" s="688">
        <v>41067.730000000003</v>
      </c>
    </row>
    <row r="293" spans="1:7" hidden="1">
      <c r="A293" s="692">
        <v>62</v>
      </c>
      <c r="B293" s="696">
        <v>43882</v>
      </c>
      <c r="C293" s="692" t="s">
        <v>3483</v>
      </c>
      <c r="D293" s="688">
        <v>15203.51</v>
      </c>
      <c r="E293" s="1025"/>
      <c r="F293" s="1028"/>
      <c r="G293" s="688">
        <v>8361.9305000000004</v>
      </c>
    </row>
    <row r="294" spans="1:7">
      <c r="A294" s="692">
        <v>63</v>
      </c>
      <c r="B294" s="695">
        <v>43882</v>
      </c>
      <c r="C294" s="694" t="s">
        <v>3474</v>
      </c>
      <c r="D294" s="693">
        <v>64822.32</v>
      </c>
      <c r="E294" s="1025"/>
      <c r="F294" s="1028"/>
      <c r="G294" s="688">
        <v>35652.275999999998</v>
      </c>
    </row>
    <row r="295" spans="1:7" hidden="1">
      <c r="A295" s="690">
        <v>64</v>
      </c>
      <c r="B295" s="691">
        <v>43885</v>
      </c>
      <c r="C295" s="690" t="s">
        <v>3477</v>
      </c>
      <c r="D295" s="689">
        <v>49785</v>
      </c>
      <c r="E295" s="1025"/>
      <c r="F295" s="1028"/>
      <c r="G295" s="688">
        <v>27381.75</v>
      </c>
    </row>
    <row r="296" spans="1:7" hidden="1">
      <c r="A296" s="690">
        <v>65</v>
      </c>
      <c r="B296" s="691">
        <v>43885</v>
      </c>
      <c r="C296" s="690" t="s">
        <v>3477</v>
      </c>
      <c r="D296" s="689">
        <v>547807.48</v>
      </c>
      <c r="E296" s="1025"/>
      <c r="F296" s="1028"/>
      <c r="G296" s="688">
        <v>301294.114</v>
      </c>
    </row>
    <row r="297" spans="1:7" hidden="1">
      <c r="A297" s="692">
        <v>66</v>
      </c>
      <c r="B297" s="696">
        <v>43886</v>
      </c>
      <c r="C297" s="692" t="s">
        <v>3480</v>
      </c>
      <c r="D297" s="688">
        <v>495</v>
      </c>
      <c r="E297" s="1025"/>
      <c r="F297" s="1028"/>
      <c r="G297" s="688">
        <v>272.25</v>
      </c>
    </row>
    <row r="298" spans="1:7" hidden="1">
      <c r="A298" s="692">
        <v>67</v>
      </c>
      <c r="B298" s="696">
        <v>43886</v>
      </c>
      <c r="C298" s="692" t="s">
        <v>3480</v>
      </c>
      <c r="D298" s="688">
        <v>2224.41</v>
      </c>
      <c r="E298" s="1025"/>
      <c r="F298" s="1028"/>
      <c r="G298" s="688">
        <v>1223.4255000000001</v>
      </c>
    </row>
    <row r="299" spans="1:7" hidden="1">
      <c r="A299" s="692">
        <v>68</v>
      </c>
      <c r="B299" s="696">
        <v>43886</v>
      </c>
      <c r="C299" s="692" t="s">
        <v>3478</v>
      </c>
      <c r="D299" s="688">
        <v>2365.4</v>
      </c>
      <c r="E299" s="1025"/>
      <c r="F299" s="1028"/>
      <c r="G299" s="688">
        <v>1300.97</v>
      </c>
    </row>
    <row r="300" spans="1:7">
      <c r="A300" s="692">
        <v>69</v>
      </c>
      <c r="B300" s="695">
        <v>43887</v>
      </c>
      <c r="C300" s="694" t="s">
        <v>3472</v>
      </c>
      <c r="D300" s="693">
        <v>329</v>
      </c>
      <c r="E300" s="1025"/>
      <c r="F300" s="1028"/>
      <c r="G300" s="688">
        <v>180.95</v>
      </c>
    </row>
    <row r="301" spans="1:7" hidden="1">
      <c r="A301" s="692">
        <v>70</v>
      </c>
      <c r="B301" s="696">
        <v>43887</v>
      </c>
      <c r="C301" s="692" t="s">
        <v>3475</v>
      </c>
      <c r="D301" s="688">
        <v>182632.2</v>
      </c>
      <c r="E301" s="1025"/>
      <c r="F301" s="1028"/>
      <c r="G301" s="688">
        <v>83690</v>
      </c>
    </row>
    <row r="302" spans="1:7" hidden="1">
      <c r="A302" s="692">
        <v>71</v>
      </c>
      <c r="B302" s="696">
        <v>43888</v>
      </c>
      <c r="C302" s="692" t="s">
        <v>3483</v>
      </c>
      <c r="D302" s="688">
        <v>1236.5999999999999</v>
      </c>
      <c r="E302" s="1025"/>
      <c r="F302" s="1028"/>
      <c r="G302" s="688">
        <v>680.13</v>
      </c>
    </row>
    <row r="303" spans="1:7">
      <c r="A303" s="692">
        <v>72</v>
      </c>
      <c r="B303" s="695">
        <v>43888</v>
      </c>
      <c r="C303" s="694" t="s">
        <v>3472</v>
      </c>
      <c r="D303" s="693">
        <v>64763.3</v>
      </c>
      <c r="E303" s="1025"/>
      <c r="F303" s="1028"/>
      <c r="G303" s="688">
        <v>35619.815000000002</v>
      </c>
    </row>
    <row r="304" spans="1:7">
      <c r="A304" s="692">
        <v>73</v>
      </c>
      <c r="B304" s="695">
        <v>43888</v>
      </c>
      <c r="C304" s="694" t="s">
        <v>3474</v>
      </c>
      <c r="D304" s="693">
        <v>173032.11</v>
      </c>
      <c r="E304" s="1025"/>
      <c r="F304" s="1028"/>
      <c r="G304" s="688">
        <v>95167.660499999998</v>
      </c>
    </row>
    <row r="305" spans="1:7" hidden="1">
      <c r="A305" s="692">
        <v>74</v>
      </c>
      <c r="B305" s="696">
        <v>43888</v>
      </c>
      <c r="C305" s="692" t="s">
        <v>3486</v>
      </c>
      <c r="D305" s="688">
        <v>7360</v>
      </c>
      <c r="E305" s="1025"/>
      <c r="F305" s="1028"/>
      <c r="G305" s="688">
        <v>4048</v>
      </c>
    </row>
    <row r="306" spans="1:7" hidden="1">
      <c r="A306" s="692">
        <v>75</v>
      </c>
      <c r="B306" s="696">
        <v>43888</v>
      </c>
      <c r="C306" s="692" t="s">
        <v>3492</v>
      </c>
      <c r="D306" s="688">
        <v>2737</v>
      </c>
      <c r="E306" s="1025"/>
      <c r="F306" s="1028"/>
      <c r="G306" s="688">
        <v>1505.35</v>
      </c>
    </row>
    <row r="307" spans="1:7" hidden="1">
      <c r="A307" s="692">
        <v>76</v>
      </c>
      <c r="B307" s="696">
        <v>43889</v>
      </c>
      <c r="C307" s="692" t="s">
        <v>3493</v>
      </c>
      <c r="D307" s="688">
        <v>1214</v>
      </c>
      <c r="E307" s="1025"/>
      <c r="F307" s="1028"/>
      <c r="G307" s="688">
        <v>667.7</v>
      </c>
    </row>
    <row r="308" spans="1:7" hidden="1">
      <c r="A308" s="692">
        <v>77</v>
      </c>
      <c r="B308" s="696">
        <v>43889</v>
      </c>
      <c r="C308" s="692" t="s">
        <v>3483</v>
      </c>
      <c r="D308" s="688">
        <v>30556.69</v>
      </c>
      <c r="E308" s="1025"/>
      <c r="F308" s="1028"/>
      <c r="G308" s="688">
        <v>16806.179499999998</v>
      </c>
    </row>
    <row r="309" spans="1:7" hidden="1">
      <c r="A309" s="692">
        <v>78</v>
      </c>
      <c r="B309" s="691">
        <v>43889</v>
      </c>
      <c r="C309" s="690" t="s">
        <v>3471</v>
      </c>
      <c r="D309" s="689">
        <v>2602517.85</v>
      </c>
      <c r="E309" s="1026"/>
      <c r="F309" s="1029"/>
      <c r="G309" s="697">
        <v>1425518</v>
      </c>
    </row>
    <row r="310" spans="1:7" hidden="1">
      <c r="A310" s="692">
        <v>79</v>
      </c>
      <c r="B310" s="696">
        <v>43892</v>
      </c>
      <c r="C310" s="692" t="s">
        <v>3485</v>
      </c>
      <c r="D310" s="688">
        <v>1001.1</v>
      </c>
      <c r="E310" s="1024">
        <v>2020.03</v>
      </c>
      <c r="F310" s="1027">
        <f>SUM(D310:D338)</f>
        <v>5300152.5999999996</v>
      </c>
      <c r="G310" s="688">
        <v>550.60500000000002</v>
      </c>
    </row>
    <row r="311" spans="1:7" hidden="1">
      <c r="A311" s="692">
        <v>80</v>
      </c>
      <c r="B311" s="696">
        <v>43892</v>
      </c>
      <c r="C311" s="692" t="s">
        <v>3491</v>
      </c>
      <c r="D311" s="688">
        <v>2373</v>
      </c>
      <c r="E311" s="1025"/>
      <c r="F311" s="1028"/>
      <c r="G311" s="688">
        <v>770</v>
      </c>
    </row>
    <row r="312" spans="1:7" hidden="1">
      <c r="A312" s="692">
        <v>81</v>
      </c>
      <c r="B312" s="696">
        <v>43892</v>
      </c>
      <c r="C312" s="692" t="s">
        <v>3490</v>
      </c>
      <c r="D312" s="688">
        <v>3901.52</v>
      </c>
      <c r="E312" s="1025"/>
      <c r="F312" s="1028"/>
      <c r="G312" s="688">
        <v>1566</v>
      </c>
    </row>
    <row r="313" spans="1:7">
      <c r="A313" s="692">
        <v>82</v>
      </c>
      <c r="B313" s="695">
        <v>43892</v>
      </c>
      <c r="C313" s="694" t="s">
        <v>3489</v>
      </c>
      <c r="D313" s="693">
        <v>380849.84</v>
      </c>
      <c r="E313" s="1025"/>
      <c r="F313" s="1028"/>
      <c r="G313" s="688">
        <v>209467.41200000001</v>
      </c>
    </row>
    <row r="314" spans="1:7" hidden="1">
      <c r="A314" s="692">
        <v>83</v>
      </c>
      <c r="B314" s="696">
        <v>43895</v>
      </c>
      <c r="C314" s="692" t="s">
        <v>3486</v>
      </c>
      <c r="D314" s="688">
        <v>1840</v>
      </c>
      <c r="E314" s="1025"/>
      <c r="F314" s="1028"/>
      <c r="G314" s="688">
        <v>1012</v>
      </c>
    </row>
    <row r="315" spans="1:7" hidden="1">
      <c r="A315" s="692">
        <v>84</v>
      </c>
      <c r="B315" s="696">
        <v>43895</v>
      </c>
      <c r="C315" s="692" t="s">
        <v>3483</v>
      </c>
      <c r="D315" s="688">
        <v>42711.61</v>
      </c>
      <c r="E315" s="1025"/>
      <c r="F315" s="1028"/>
      <c r="G315" s="688">
        <v>16885</v>
      </c>
    </row>
    <row r="316" spans="1:7">
      <c r="A316" s="692">
        <v>85</v>
      </c>
      <c r="B316" s="695">
        <v>43895</v>
      </c>
      <c r="C316" s="694" t="s">
        <v>3472</v>
      </c>
      <c r="D316" s="693">
        <v>944</v>
      </c>
      <c r="E316" s="1025"/>
      <c r="F316" s="1028"/>
      <c r="G316" s="688">
        <v>519.20000000000005</v>
      </c>
    </row>
    <row r="317" spans="1:7">
      <c r="A317" s="692">
        <v>86</v>
      </c>
      <c r="B317" s="695">
        <v>43896</v>
      </c>
      <c r="C317" s="694" t="s">
        <v>3474</v>
      </c>
      <c r="D317" s="693">
        <v>73424.11</v>
      </c>
      <c r="E317" s="1025"/>
      <c r="F317" s="1028"/>
      <c r="G317" s="688">
        <v>40383.260499999997</v>
      </c>
    </row>
    <row r="318" spans="1:7" hidden="1">
      <c r="A318" s="692">
        <v>87</v>
      </c>
      <c r="B318" s="696">
        <v>43899</v>
      </c>
      <c r="C318" s="692" t="s">
        <v>3480</v>
      </c>
      <c r="D318" s="688">
        <v>3537.7</v>
      </c>
      <c r="E318" s="1025"/>
      <c r="F318" s="1028"/>
      <c r="G318" s="688">
        <v>1945.7349999999999</v>
      </c>
    </row>
    <row r="319" spans="1:7" hidden="1">
      <c r="A319" s="692">
        <v>88</v>
      </c>
      <c r="B319" s="696">
        <v>43899</v>
      </c>
      <c r="C319" s="692" t="s">
        <v>3483</v>
      </c>
      <c r="D319" s="688">
        <v>271.02999999999997</v>
      </c>
      <c r="E319" s="1025"/>
      <c r="F319" s="1028"/>
      <c r="G319" s="688">
        <v>149.06649999999999</v>
      </c>
    </row>
    <row r="320" spans="1:7">
      <c r="A320" s="692">
        <v>89</v>
      </c>
      <c r="B320" s="695">
        <v>43901</v>
      </c>
      <c r="C320" s="694" t="s">
        <v>3487</v>
      </c>
      <c r="D320" s="693">
        <v>661559.19999999995</v>
      </c>
      <c r="E320" s="1025"/>
      <c r="F320" s="1028"/>
      <c r="G320" s="688">
        <v>363857.56</v>
      </c>
    </row>
    <row r="321" spans="1:7" hidden="1">
      <c r="A321" s="692">
        <v>90</v>
      </c>
      <c r="B321" s="696">
        <v>43901</v>
      </c>
      <c r="C321" s="692" t="s">
        <v>3483</v>
      </c>
      <c r="D321" s="688">
        <v>12782.86</v>
      </c>
      <c r="E321" s="1025"/>
      <c r="F321" s="1028"/>
      <c r="G321" s="688">
        <v>7030.5730000000003</v>
      </c>
    </row>
    <row r="322" spans="1:7">
      <c r="A322" s="692">
        <v>91</v>
      </c>
      <c r="B322" s="695">
        <v>43901</v>
      </c>
      <c r="C322" s="694" t="s">
        <v>3474</v>
      </c>
      <c r="D322" s="693">
        <v>176380.87</v>
      </c>
      <c r="E322" s="1025"/>
      <c r="F322" s="1028"/>
      <c r="G322" s="688">
        <v>97009.478499999997</v>
      </c>
    </row>
    <row r="323" spans="1:7">
      <c r="A323" s="692">
        <v>92</v>
      </c>
      <c r="B323" s="695">
        <v>43903</v>
      </c>
      <c r="C323" s="694" t="s">
        <v>3472</v>
      </c>
      <c r="D323" s="693">
        <v>161855.60999999999</v>
      </c>
      <c r="E323" s="1025"/>
      <c r="F323" s="1028"/>
      <c r="G323" s="688">
        <v>89020.585500000001</v>
      </c>
    </row>
    <row r="324" spans="1:7" hidden="1">
      <c r="A324" s="692">
        <v>93</v>
      </c>
      <c r="B324" s="696">
        <v>43903</v>
      </c>
      <c r="C324" s="692" t="s">
        <v>3483</v>
      </c>
      <c r="D324" s="688">
        <v>38998.67</v>
      </c>
      <c r="E324" s="1025"/>
      <c r="F324" s="1028"/>
      <c r="G324" s="688">
        <v>13199</v>
      </c>
    </row>
    <row r="325" spans="1:7">
      <c r="A325" s="692">
        <v>94</v>
      </c>
      <c r="B325" s="695">
        <v>43908</v>
      </c>
      <c r="C325" s="694" t="s">
        <v>3474</v>
      </c>
      <c r="D325" s="693">
        <v>47867.95</v>
      </c>
      <c r="E325" s="1025"/>
      <c r="F325" s="1028"/>
      <c r="G325" s="688">
        <v>26327.372500000001</v>
      </c>
    </row>
    <row r="326" spans="1:7" hidden="1">
      <c r="A326" s="692">
        <v>95</v>
      </c>
      <c r="B326" s="696">
        <v>43909</v>
      </c>
      <c r="C326" s="692" t="s">
        <v>3481</v>
      </c>
      <c r="D326" s="688">
        <v>17466.75</v>
      </c>
      <c r="E326" s="1025"/>
      <c r="F326" s="1028"/>
      <c r="G326" s="688">
        <v>9606.7124999999996</v>
      </c>
    </row>
    <row r="327" spans="1:7" hidden="1">
      <c r="A327" s="690">
        <v>96</v>
      </c>
      <c r="B327" s="691">
        <v>43910</v>
      </c>
      <c r="C327" s="690" t="s">
        <v>3479</v>
      </c>
      <c r="D327" s="689">
        <v>1908700.64</v>
      </c>
      <c r="E327" s="1025"/>
      <c r="F327" s="1028"/>
      <c r="G327" s="688">
        <v>1049785.352</v>
      </c>
    </row>
    <row r="328" spans="1:7" hidden="1">
      <c r="A328" s="692">
        <v>97</v>
      </c>
      <c r="B328" s="696">
        <v>43913</v>
      </c>
      <c r="C328" s="692" t="s">
        <v>3480</v>
      </c>
      <c r="D328" s="688">
        <v>2680.68</v>
      </c>
      <c r="E328" s="1025"/>
      <c r="F328" s="1028"/>
      <c r="G328" s="688">
        <v>1474.374</v>
      </c>
    </row>
    <row r="329" spans="1:7">
      <c r="A329" s="692">
        <v>98</v>
      </c>
      <c r="B329" s="695">
        <v>43913</v>
      </c>
      <c r="C329" s="694" t="s">
        <v>3472</v>
      </c>
      <c r="D329" s="693">
        <v>195355.42</v>
      </c>
      <c r="E329" s="1025"/>
      <c r="F329" s="1028"/>
      <c r="G329" s="688">
        <v>107445.481</v>
      </c>
    </row>
    <row r="330" spans="1:7">
      <c r="A330" s="692">
        <v>99</v>
      </c>
      <c r="B330" s="695">
        <v>43915</v>
      </c>
      <c r="C330" s="694" t="s">
        <v>3472</v>
      </c>
      <c r="D330" s="693">
        <v>7869.2</v>
      </c>
      <c r="E330" s="1025"/>
      <c r="F330" s="1028"/>
      <c r="G330" s="688">
        <v>4328.0600000000004</v>
      </c>
    </row>
    <row r="331" spans="1:7" hidden="1">
      <c r="A331" s="690">
        <v>100</v>
      </c>
      <c r="B331" s="691">
        <v>43915</v>
      </c>
      <c r="C331" s="690" t="s">
        <v>3477</v>
      </c>
      <c r="D331" s="689">
        <v>26385</v>
      </c>
      <c r="E331" s="1025"/>
      <c r="F331" s="1028"/>
      <c r="G331" s="688">
        <v>12195</v>
      </c>
    </row>
    <row r="332" spans="1:7" hidden="1">
      <c r="A332" s="690">
        <v>101</v>
      </c>
      <c r="B332" s="691">
        <v>43915</v>
      </c>
      <c r="C332" s="690" t="s">
        <v>3477</v>
      </c>
      <c r="D332" s="689">
        <v>1000098.5</v>
      </c>
      <c r="E332" s="1025"/>
      <c r="F332" s="1028"/>
      <c r="G332" s="688">
        <v>328398</v>
      </c>
    </row>
    <row r="333" spans="1:7">
      <c r="A333" s="692">
        <v>102</v>
      </c>
      <c r="B333" s="695">
        <v>43915</v>
      </c>
      <c r="C333" s="694" t="s">
        <v>3474</v>
      </c>
      <c r="D333" s="693">
        <v>7353.94</v>
      </c>
      <c r="E333" s="1025"/>
      <c r="F333" s="1028"/>
      <c r="G333" s="688">
        <v>4044.6669999999999</v>
      </c>
    </row>
    <row r="334" spans="1:7" hidden="1">
      <c r="A334" s="692">
        <v>103</v>
      </c>
      <c r="B334" s="696">
        <v>43915</v>
      </c>
      <c r="C334" s="692" t="s">
        <v>3478</v>
      </c>
      <c r="D334" s="688">
        <v>1797.38</v>
      </c>
      <c r="E334" s="1025"/>
      <c r="F334" s="1028"/>
      <c r="G334" s="688">
        <v>988.55899999999997</v>
      </c>
    </row>
    <row r="335" spans="1:7" hidden="1">
      <c r="A335" s="692">
        <v>104</v>
      </c>
      <c r="B335" s="696">
        <v>43915</v>
      </c>
      <c r="C335" s="692" t="s">
        <v>3476</v>
      </c>
      <c r="D335" s="688">
        <v>3577.87</v>
      </c>
      <c r="E335" s="1025"/>
      <c r="F335" s="1028"/>
      <c r="G335" s="688">
        <v>1967.8285000000001</v>
      </c>
    </row>
    <row r="336" spans="1:7" hidden="1">
      <c r="A336" s="692">
        <v>105</v>
      </c>
      <c r="B336" s="696">
        <v>43916</v>
      </c>
      <c r="C336" s="692" t="s">
        <v>3475</v>
      </c>
      <c r="D336" s="688">
        <v>193599.72</v>
      </c>
      <c r="E336" s="1025"/>
      <c r="F336" s="1028"/>
      <c r="G336" s="688">
        <v>106479.84600000001</v>
      </c>
    </row>
    <row r="337" spans="1:7">
      <c r="A337" s="692">
        <v>106</v>
      </c>
      <c r="B337" s="695">
        <v>43916</v>
      </c>
      <c r="C337" s="694" t="s">
        <v>3472</v>
      </c>
      <c r="D337" s="693">
        <v>212198.13</v>
      </c>
      <c r="E337" s="1025"/>
      <c r="F337" s="1028"/>
      <c r="G337" s="688">
        <v>111894</v>
      </c>
    </row>
    <row r="338" spans="1:7">
      <c r="A338" s="692">
        <v>107</v>
      </c>
      <c r="B338" s="695">
        <v>43921</v>
      </c>
      <c r="C338" s="694" t="s">
        <v>3472</v>
      </c>
      <c r="D338" s="693">
        <v>112770.3</v>
      </c>
      <c r="E338" s="1026"/>
      <c r="F338" s="1029"/>
      <c r="G338" s="688">
        <v>62023.665000000001</v>
      </c>
    </row>
    <row r="339" spans="1:7" hidden="1">
      <c r="A339" s="692">
        <v>108</v>
      </c>
      <c r="B339" s="691">
        <v>43922</v>
      </c>
      <c r="C339" s="690" t="s">
        <v>3471</v>
      </c>
      <c r="D339" s="689">
        <v>1695291.26</v>
      </c>
      <c r="E339" s="1024">
        <v>2020.04</v>
      </c>
      <c r="F339" s="1027">
        <f>SUM(D339:D380)</f>
        <v>10427387.189999999</v>
      </c>
      <c r="G339" s="688">
        <v>921958</v>
      </c>
    </row>
    <row r="340" spans="1:7" hidden="1">
      <c r="A340" s="692">
        <v>109</v>
      </c>
      <c r="B340" s="696">
        <v>43922</v>
      </c>
      <c r="C340" s="692" t="s">
        <v>3490</v>
      </c>
      <c r="D340" s="688">
        <v>14070.18</v>
      </c>
      <c r="E340" s="1025"/>
      <c r="F340" s="1028"/>
      <c r="G340" s="688">
        <v>7696</v>
      </c>
    </row>
    <row r="341" spans="1:7">
      <c r="A341" s="692">
        <v>110</v>
      </c>
      <c r="B341" s="695">
        <v>43922</v>
      </c>
      <c r="C341" s="694" t="s">
        <v>3474</v>
      </c>
      <c r="D341" s="693">
        <v>196806.29</v>
      </c>
      <c r="E341" s="1025"/>
      <c r="F341" s="1028"/>
      <c r="G341" s="688">
        <v>108243.4595</v>
      </c>
    </row>
    <row r="342" spans="1:7" hidden="1">
      <c r="A342" s="692">
        <v>111</v>
      </c>
      <c r="B342" s="696">
        <v>43923</v>
      </c>
      <c r="C342" s="692" t="s">
        <v>3483</v>
      </c>
      <c r="D342" s="688">
        <v>239962.66</v>
      </c>
      <c r="E342" s="1025"/>
      <c r="F342" s="1028"/>
      <c r="G342" s="688">
        <v>131924</v>
      </c>
    </row>
    <row r="343" spans="1:7" hidden="1">
      <c r="A343" s="692">
        <v>112</v>
      </c>
      <c r="B343" s="696">
        <v>43924</v>
      </c>
      <c r="C343" s="692" t="s">
        <v>3483</v>
      </c>
      <c r="D343" s="688">
        <v>67935.839999999997</v>
      </c>
      <c r="E343" s="1025"/>
      <c r="F343" s="1028"/>
      <c r="G343" s="688">
        <v>37364.712</v>
      </c>
    </row>
    <row r="344" spans="1:7">
      <c r="A344" s="692">
        <v>113</v>
      </c>
      <c r="B344" s="695">
        <v>43924</v>
      </c>
      <c r="C344" s="694" t="s">
        <v>3474</v>
      </c>
      <c r="D344" s="693">
        <v>3180</v>
      </c>
      <c r="E344" s="1025"/>
      <c r="F344" s="1028"/>
      <c r="G344" s="688">
        <v>1749</v>
      </c>
    </row>
    <row r="345" spans="1:7">
      <c r="A345" s="692">
        <v>114</v>
      </c>
      <c r="B345" s="695">
        <v>43924</v>
      </c>
      <c r="C345" s="694" t="s">
        <v>3474</v>
      </c>
      <c r="D345" s="693">
        <v>146809.64000000001</v>
      </c>
      <c r="E345" s="1025"/>
      <c r="F345" s="1028"/>
      <c r="G345" s="688">
        <v>80745.301999999996</v>
      </c>
    </row>
    <row r="346" spans="1:7">
      <c r="A346" s="692">
        <v>115</v>
      </c>
      <c r="B346" s="695">
        <v>43928</v>
      </c>
      <c r="C346" s="694" t="s">
        <v>3472</v>
      </c>
      <c r="D346" s="693">
        <v>95117.7</v>
      </c>
      <c r="E346" s="1025"/>
      <c r="F346" s="1028"/>
      <c r="G346" s="688">
        <v>52314.735000000001</v>
      </c>
    </row>
    <row r="347" spans="1:7">
      <c r="A347" s="692">
        <v>116</v>
      </c>
      <c r="B347" s="695">
        <v>43928</v>
      </c>
      <c r="C347" s="694" t="s">
        <v>3489</v>
      </c>
      <c r="D347" s="693">
        <v>257143.23</v>
      </c>
      <c r="E347" s="1025"/>
      <c r="F347" s="1028"/>
      <c r="G347" s="688">
        <v>141428.77650000001</v>
      </c>
    </row>
    <row r="348" spans="1:7" hidden="1">
      <c r="A348" s="692">
        <v>117</v>
      </c>
      <c r="B348" s="696">
        <v>43929</v>
      </c>
      <c r="C348" s="692" t="s">
        <v>3483</v>
      </c>
      <c r="D348" s="688">
        <v>43302.96</v>
      </c>
      <c r="E348" s="1025"/>
      <c r="F348" s="1028"/>
      <c r="G348" s="688">
        <v>20323</v>
      </c>
    </row>
    <row r="349" spans="1:7">
      <c r="A349" s="692">
        <v>118</v>
      </c>
      <c r="B349" s="695">
        <v>43929</v>
      </c>
      <c r="C349" s="694" t="s">
        <v>3472</v>
      </c>
      <c r="D349" s="693">
        <v>114655.37</v>
      </c>
      <c r="E349" s="1025"/>
      <c r="F349" s="1028"/>
      <c r="G349" s="688">
        <v>62821</v>
      </c>
    </row>
    <row r="350" spans="1:7">
      <c r="A350" s="692">
        <v>119</v>
      </c>
      <c r="B350" s="695">
        <v>43931</v>
      </c>
      <c r="C350" s="694" t="s">
        <v>3472</v>
      </c>
      <c r="D350" s="693">
        <v>99593.07</v>
      </c>
      <c r="E350" s="1025"/>
      <c r="F350" s="1028"/>
      <c r="G350" s="688">
        <v>54776.188499999997</v>
      </c>
    </row>
    <row r="351" spans="1:7" hidden="1">
      <c r="A351" s="692">
        <v>120</v>
      </c>
      <c r="B351" s="696">
        <v>43935</v>
      </c>
      <c r="C351" s="692" t="s">
        <v>3480</v>
      </c>
      <c r="D351" s="688">
        <v>2493.02</v>
      </c>
      <c r="E351" s="1025"/>
      <c r="F351" s="1028"/>
      <c r="G351" s="688">
        <v>1371.1610000000001</v>
      </c>
    </row>
    <row r="352" spans="1:7">
      <c r="A352" s="692">
        <v>121</v>
      </c>
      <c r="B352" s="695">
        <v>43935</v>
      </c>
      <c r="C352" s="694" t="s">
        <v>3474</v>
      </c>
      <c r="D352" s="693">
        <v>42860.35</v>
      </c>
      <c r="E352" s="1025"/>
      <c r="F352" s="1028"/>
      <c r="G352" s="688">
        <v>23573.192500000001</v>
      </c>
    </row>
    <row r="353" spans="1:7" hidden="1">
      <c r="A353" s="692">
        <v>122</v>
      </c>
      <c r="B353" s="696">
        <v>43935</v>
      </c>
      <c r="C353" s="692" t="s">
        <v>3483</v>
      </c>
      <c r="D353" s="688">
        <v>48666.02</v>
      </c>
      <c r="E353" s="1025"/>
      <c r="F353" s="1028"/>
      <c r="G353" s="688">
        <v>26766.311000000002</v>
      </c>
    </row>
    <row r="354" spans="1:7">
      <c r="A354" s="692">
        <v>123</v>
      </c>
      <c r="B354" s="695">
        <v>43936</v>
      </c>
      <c r="C354" s="694" t="s">
        <v>3487</v>
      </c>
      <c r="D354" s="693">
        <v>709590.88</v>
      </c>
      <c r="E354" s="1025"/>
      <c r="F354" s="1028"/>
      <c r="G354" s="688">
        <v>390274.984</v>
      </c>
    </row>
    <row r="355" spans="1:7" hidden="1">
      <c r="A355" s="692">
        <v>124</v>
      </c>
      <c r="B355" s="696">
        <v>43936</v>
      </c>
      <c r="C355" s="692" t="s">
        <v>3483</v>
      </c>
      <c r="D355" s="688">
        <v>58181.57</v>
      </c>
      <c r="E355" s="1025"/>
      <c r="F355" s="1028"/>
      <c r="G355" s="688">
        <v>31999.863499999999</v>
      </c>
    </row>
    <row r="356" spans="1:7">
      <c r="A356" s="692">
        <v>125</v>
      </c>
      <c r="B356" s="695">
        <v>43938</v>
      </c>
      <c r="C356" s="694" t="s">
        <v>3472</v>
      </c>
      <c r="D356" s="693">
        <v>113653.74</v>
      </c>
      <c r="E356" s="1025"/>
      <c r="F356" s="1028"/>
      <c r="G356" s="688">
        <v>62509.557000000001</v>
      </c>
    </row>
    <row r="357" spans="1:7">
      <c r="A357" s="692">
        <v>126</v>
      </c>
      <c r="B357" s="695">
        <v>43938</v>
      </c>
      <c r="C357" s="694" t="s">
        <v>3472</v>
      </c>
      <c r="D357" s="693">
        <v>131148.6</v>
      </c>
      <c r="E357" s="1025"/>
      <c r="F357" s="1028"/>
      <c r="G357" s="688">
        <v>72131.73</v>
      </c>
    </row>
    <row r="358" spans="1:7" hidden="1">
      <c r="A358" s="690">
        <v>127</v>
      </c>
      <c r="B358" s="691">
        <v>43941</v>
      </c>
      <c r="C358" s="690" t="s">
        <v>3479</v>
      </c>
      <c r="D358" s="689">
        <v>2360905.3199999998</v>
      </c>
      <c r="E358" s="1025"/>
      <c r="F358" s="1028"/>
      <c r="G358" s="688">
        <v>1298497.926</v>
      </c>
    </row>
    <row r="359" spans="1:7" hidden="1">
      <c r="A359" s="692">
        <v>128</v>
      </c>
      <c r="B359" s="696">
        <v>43941</v>
      </c>
      <c r="C359" s="692" t="s">
        <v>3481</v>
      </c>
      <c r="D359" s="688">
        <v>29403.68</v>
      </c>
      <c r="E359" s="1025"/>
      <c r="F359" s="1028"/>
      <c r="G359" s="688">
        <v>16172.023999999999</v>
      </c>
    </row>
    <row r="360" spans="1:7" hidden="1">
      <c r="A360" s="692">
        <v>129</v>
      </c>
      <c r="B360" s="696">
        <v>43941</v>
      </c>
      <c r="C360" s="692" t="s">
        <v>3483</v>
      </c>
      <c r="D360" s="688">
        <v>56172.27</v>
      </c>
      <c r="E360" s="1025"/>
      <c r="F360" s="1028"/>
      <c r="G360" s="688">
        <v>30894.748500000002</v>
      </c>
    </row>
    <row r="361" spans="1:7">
      <c r="A361" s="692">
        <v>130</v>
      </c>
      <c r="B361" s="695">
        <v>43943</v>
      </c>
      <c r="C361" s="694" t="s">
        <v>3472</v>
      </c>
      <c r="D361" s="693">
        <v>156977.43</v>
      </c>
      <c r="E361" s="1025"/>
      <c r="F361" s="1028"/>
      <c r="G361" s="688">
        <v>83117</v>
      </c>
    </row>
    <row r="362" spans="1:7" hidden="1">
      <c r="A362" s="692">
        <v>131</v>
      </c>
      <c r="B362" s="696">
        <v>43943</v>
      </c>
      <c r="C362" s="692" t="s">
        <v>3483</v>
      </c>
      <c r="D362" s="688">
        <v>74455.899999999994</v>
      </c>
      <c r="E362" s="1025"/>
      <c r="F362" s="1028"/>
      <c r="G362" s="688">
        <v>40950.745000000003</v>
      </c>
    </row>
    <row r="363" spans="1:7">
      <c r="A363" s="692">
        <v>132</v>
      </c>
      <c r="B363" s="695">
        <v>43944</v>
      </c>
      <c r="C363" s="694" t="s">
        <v>3474</v>
      </c>
      <c r="D363" s="693">
        <v>110300.39</v>
      </c>
      <c r="E363" s="1025"/>
      <c r="F363" s="1028"/>
      <c r="G363" s="688">
        <v>60665.214500000002</v>
      </c>
    </row>
    <row r="364" spans="1:7">
      <c r="A364" s="692">
        <v>133</v>
      </c>
      <c r="B364" s="695">
        <v>43944</v>
      </c>
      <c r="C364" s="694" t="s">
        <v>3474</v>
      </c>
      <c r="D364" s="693">
        <v>38094.160000000003</v>
      </c>
      <c r="E364" s="1025"/>
      <c r="F364" s="1028"/>
      <c r="G364" s="688">
        <v>20951.788</v>
      </c>
    </row>
    <row r="365" spans="1:7" hidden="1">
      <c r="A365" s="690">
        <v>134</v>
      </c>
      <c r="B365" s="691">
        <v>43944</v>
      </c>
      <c r="C365" s="690" t="s">
        <v>3477</v>
      </c>
      <c r="D365" s="689">
        <v>441796.76</v>
      </c>
      <c r="E365" s="1025"/>
      <c r="F365" s="1028"/>
      <c r="G365" s="688">
        <v>241764</v>
      </c>
    </row>
    <row r="366" spans="1:7" hidden="1">
      <c r="A366" s="690">
        <v>135</v>
      </c>
      <c r="B366" s="691">
        <v>43944</v>
      </c>
      <c r="C366" s="690" t="s">
        <v>3477</v>
      </c>
      <c r="D366" s="689">
        <v>9585</v>
      </c>
      <c r="E366" s="1025"/>
      <c r="F366" s="1028"/>
      <c r="G366" s="688">
        <v>2640</v>
      </c>
    </row>
    <row r="367" spans="1:7">
      <c r="A367" s="692">
        <v>136</v>
      </c>
      <c r="B367" s="695">
        <v>43944</v>
      </c>
      <c r="C367" s="694" t="s">
        <v>3472</v>
      </c>
      <c r="D367" s="693">
        <v>96126.03</v>
      </c>
      <c r="E367" s="1025"/>
      <c r="F367" s="1028"/>
      <c r="G367" s="688">
        <v>50851</v>
      </c>
    </row>
    <row r="368" spans="1:7" hidden="1">
      <c r="A368" s="692">
        <v>137</v>
      </c>
      <c r="B368" s="696">
        <v>43944</v>
      </c>
      <c r="C368" s="692" t="s">
        <v>3492</v>
      </c>
      <c r="D368" s="688">
        <v>2737</v>
      </c>
      <c r="E368" s="1025"/>
      <c r="F368" s="1028"/>
      <c r="G368" s="688">
        <v>1505.35</v>
      </c>
    </row>
    <row r="369" spans="1:7" hidden="1">
      <c r="A369" s="692">
        <v>138</v>
      </c>
      <c r="B369" s="696">
        <v>43945</v>
      </c>
      <c r="C369" s="692" t="s">
        <v>3476</v>
      </c>
      <c r="D369" s="688">
        <v>6885.34</v>
      </c>
      <c r="E369" s="1025"/>
      <c r="F369" s="1028"/>
      <c r="G369" s="688">
        <v>3786.9369999999999</v>
      </c>
    </row>
    <row r="370" spans="1:7" hidden="1">
      <c r="A370" s="692">
        <v>139</v>
      </c>
      <c r="B370" s="696">
        <v>43945</v>
      </c>
      <c r="C370" s="692" t="s">
        <v>3482</v>
      </c>
      <c r="D370" s="688">
        <v>2562.7600000000002</v>
      </c>
      <c r="E370" s="1025"/>
      <c r="F370" s="1028"/>
      <c r="G370" s="688">
        <v>1409.518</v>
      </c>
    </row>
    <row r="371" spans="1:7" hidden="1">
      <c r="A371" s="692">
        <v>140</v>
      </c>
      <c r="B371" s="696">
        <v>43945</v>
      </c>
      <c r="C371" s="692" t="s">
        <v>3478</v>
      </c>
      <c r="D371" s="688">
        <v>4486.49</v>
      </c>
      <c r="E371" s="1025"/>
      <c r="F371" s="1028"/>
      <c r="G371" s="688">
        <v>2467.5695000000001</v>
      </c>
    </row>
    <row r="372" spans="1:7" hidden="1">
      <c r="A372" s="692">
        <v>141</v>
      </c>
      <c r="B372" s="696">
        <v>43947</v>
      </c>
      <c r="C372" s="692" t="s">
        <v>3483</v>
      </c>
      <c r="D372" s="688">
        <v>72927.41</v>
      </c>
      <c r="E372" s="1025"/>
      <c r="F372" s="1028"/>
      <c r="G372" s="688">
        <v>38815</v>
      </c>
    </row>
    <row r="373" spans="1:7" hidden="1">
      <c r="A373" s="692">
        <v>142</v>
      </c>
      <c r="B373" s="696">
        <v>43947</v>
      </c>
      <c r="C373" s="692" t="s">
        <v>3480</v>
      </c>
      <c r="D373" s="688">
        <v>3677</v>
      </c>
      <c r="E373" s="1025"/>
      <c r="F373" s="1028"/>
      <c r="G373" s="688">
        <v>2024</v>
      </c>
    </row>
    <row r="374" spans="1:7" hidden="1">
      <c r="A374" s="692">
        <v>143</v>
      </c>
      <c r="B374" s="696">
        <v>43947</v>
      </c>
      <c r="C374" s="692" t="s">
        <v>3475</v>
      </c>
      <c r="D374" s="688">
        <v>165469.35999999999</v>
      </c>
      <c r="E374" s="1025"/>
      <c r="F374" s="1028"/>
      <c r="G374" s="688">
        <v>76177</v>
      </c>
    </row>
    <row r="375" spans="1:7" hidden="1">
      <c r="A375" s="692">
        <v>144</v>
      </c>
      <c r="B375" s="696">
        <v>43948</v>
      </c>
      <c r="C375" s="692" t="s">
        <v>3480</v>
      </c>
      <c r="D375" s="688">
        <v>2370.38</v>
      </c>
      <c r="E375" s="1025"/>
      <c r="F375" s="1028"/>
      <c r="G375" s="688">
        <v>1303.7090000000001</v>
      </c>
    </row>
    <row r="376" spans="1:7" hidden="1">
      <c r="A376" s="692">
        <v>145</v>
      </c>
      <c r="B376" s="691">
        <v>43949</v>
      </c>
      <c r="C376" s="690" t="s">
        <v>3471</v>
      </c>
      <c r="D376" s="689">
        <v>2416498.02</v>
      </c>
      <c r="E376" s="1025"/>
      <c r="F376" s="1028"/>
      <c r="G376" s="688">
        <v>1269049</v>
      </c>
    </row>
    <row r="377" spans="1:7">
      <c r="A377" s="692">
        <v>146</v>
      </c>
      <c r="B377" s="695">
        <v>43950</v>
      </c>
      <c r="C377" s="694" t="s">
        <v>3472</v>
      </c>
      <c r="D377" s="693">
        <v>120398.3</v>
      </c>
      <c r="E377" s="1025"/>
      <c r="F377" s="1028"/>
      <c r="G377" s="688">
        <v>66219.065000000002</v>
      </c>
    </row>
    <row r="378" spans="1:7">
      <c r="A378" s="692">
        <v>147</v>
      </c>
      <c r="B378" s="695">
        <v>43951</v>
      </c>
      <c r="C378" s="694" t="s">
        <v>3474</v>
      </c>
      <c r="D378" s="693">
        <v>37210.79</v>
      </c>
      <c r="E378" s="1025"/>
      <c r="F378" s="1028"/>
      <c r="G378" s="688">
        <v>20465.934499999999</v>
      </c>
    </row>
    <row r="379" spans="1:7" hidden="1">
      <c r="A379" s="692">
        <v>148</v>
      </c>
      <c r="B379" s="696">
        <v>43951</v>
      </c>
      <c r="C379" s="692" t="s">
        <v>3483</v>
      </c>
      <c r="D379" s="688">
        <v>22886.17</v>
      </c>
      <c r="E379" s="1025"/>
      <c r="F379" s="1028"/>
      <c r="G379" s="688">
        <v>12532</v>
      </c>
    </row>
    <row r="380" spans="1:7">
      <c r="A380" s="692">
        <v>149</v>
      </c>
      <c r="B380" s="695">
        <v>43951</v>
      </c>
      <c r="C380" s="694" t="s">
        <v>3472</v>
      </c>
      <c r="D380" s="693">
        <v>114998.85</v>
      </c>
      <c r="E380" s="1026"/>
      <c r="F380" s="1029"/>
      <c r="G380" s="688">
        <v>63246</v>
      </c>
    </row>
    <row r="381" spans="1:7" hidden="1">
      <c r="A381" s="692">
        <v>150</v>
      </c>
      <c r="B381" s="696">
        <v>43957</v>
      </c>
      <c r="C381" s="692" t="s">
        <v>3473</v>
      </c>
      <c r="D381" s="688">
        <v>2755</v>
      </c>
      <c r="E381" s="1024">
        <v>2020.05</v>
      </c>
      <c r="F381" s="1027">
        <f>SUM(D381:D420)</f>
        <v>10888131.370000001</v>
      </c>
      <c r="G381" s="688">
        <v>1515.25</v>
      </c>
    </row>
    <row r="382" spans="1:7">
      <c r="A382" s="692">
        <v>151</v>
      </c>
      <c r="B382" s="695">
        <v>43957</v>
      </c>
      <c r="C382" s="694" t="s">
        <v>3472</v>
      </c>
      <c r="D382" s="693">
        <v>16130</v>
      </c>
      <c r="E382" s="1025"/>
      <c r="F382" s="1028"/>
      <c r="G382" s="688">
        <v>8871.5</v>
      </c>
    </row>
    <row r="383" spans="1:7" hidden="1">
      <c r="A383" s="692">
        <v>152</v>
      </c>
      <c r="B383" s="696">
        <v>43957</v>
      </c>
      <c r="C383" s="692" t="s">
        <v>3483</v>
      </c>
      <c r="D383" s="688">
        <v>15412.14</v>
      </c>
      <c r="E383" s="1025"/>
      <c r="F383" s="1028"/>
      <c r="G383" s="688">
        <v>8476.6769999999997</v>
      </c>
    </row>
    <row r="384" spans="1:7">
      <c r="A384" s="692">
        <v>153</v>
      </c>
      <c r="B384" s="695">
        <v>43957</v>
      </c>
      <c r="C384" s="694" t="s">
        <v>3489</v>
      </c>
      <c r="D384" s="693">
        <v>444565.37</v>
      </c>
      <c r="E384" s="1025"/>
      <c r="F384" s="1028"/>
      <c r="G384" s="688">
        <v>260756</v>
      </c>
    </row>
    <row r="385" spans="1:7" hidden="1">
      <c r="A385" s="692">
        <v>154</v>
      </c>
      <c r="B385" s="696">
        <v>43957</v>
      </c>
      <c r="C385" s="692" t="s">
        <v>3490</v>
      </c>
      <c r="D385" s="688">
        <v>14580.27</v>
      </c>
      <c r="E385" s="1025"/>
      <c r="F385" s="1028"/>
      <c r="G385" s="688">
        <v>8019.1485000000002</v>
      </c>
    </row>
    <row r="386" spans="1:7" hidden="1">
      <c r="A386" s="692">
        <v>155</v>
      </c>
      <c r="B386" s="696">
        <v>43957</v>
      </c>
      <c r="C386" s="692" t="s">
        <v>3491</v>
      </c>
      <c r="D386" s="688">
        <v>973</v>
      </c>
      <c r="E386" s="1025"/>
      <c r="F386" s="1028"/>
      <c r="G386" s="688">
        <v>535.15</v>
      </c>
    </row>
    <row r="387" spans="1:7">
      <c r="A387" s="692">
        <v>156</v>
      </c>
      <c r="B387" s="695">
        <v>43959</v>
      </c>
      <c r="C387" s="694" t="s">
        <v>3472</v>
      </c>
      <c r="D387" s="693">
        <v>174573.8</v>
      </c>
      <c r="E387" s="1025"/>
      <c r="F387" s="1028"/>
      <c r="G387" s="688">
        <v>96015.59</v>
      </c>
    </row>
    <row r="388" spans="1:7">
      <c r="A388" s="692">
        <v>157</v>
      </c>
      <c r="B388" s="695">
        <v>43959</v>
      </c>
      <c r="C388" s="694" t="s">
        <v>3474</v>
      </c>
      <c r="D388" s="693">
        <v>264917.14</v>
      </c>
      <c r="E388" s="1025"/>
      <c r="F388" s="1028"/>
      <c r="G388" s="688">
        <v>145704.427</v>
      </c>
    </row>
    <row r="389" spans="1:7">
      <c r="A389" s="692">
        <v>158</v>
      </c>
      <c r="B389" s="695">
        <v>43959</v>
      </c>
      <c r="C389" s="694" t="s">
        <v>3474</v>
      </c>
      <c r="D389" s="693">
        <v>380</v>
      </c>
      <c r="E389" s="1025"/>
      <c r="F389" s="1028"/>
      <c r="G389" s="688">
        <v>209</v>
      </c>
    </row>
    <row r="390" spans="1:7" hidden="1">
      <c r="A390" s="692">
        <v>159</v>
      </c>
      <c r="B390" s="696">
        <v>43959</v>
      </c>
      <c r="C390" s="692" t="s">
        <v>3483</v>
      </c>
      <c r="D390" s="688">
        <v>54830.87</v>
      </c>
      <c r="E390" s="1025"/>
      <c r="F390" s="1028"/>
      <c r="G390" s="688">
        <v>30156.978500000001</v>
      </c>
    </row>
    <row r="391" spans="1:7" hidden="1">
      <c r="A391" s="692">
        <v>160</v>
      </c>
      <c r="B391" s="696">
        <v>43959</v>
      </c>
      <c r="C391" s="692" t="s">
        <v>3486</v>
      </c>
      <c r="D391" s="688">
        <v>9000</v>
      </c>
      <c r="E391" s="1025"/>
      <c r="F391" s="1028"/>
      <c r="G391" s="688">
        <v>4950</v>
      </c>
    </row>
    <row r="392" spans="1:7" hidden="1">
      <c r="A392" s="692">
        <v>161</v>
      </c>
      <c r="B392" s="696">
        <v>43960</v>
      </c>
      <c r="C392" s="692" t="s">
        <v>3484</v>
      </c>
      <c r="D392" s="688">
        <v>1820</v>
      </c>
      <c r="E392" s="1025"/>
      <c r="F392" s="1028"/>
      <c r="G392" s="688">
        <v>1001</v>
      </c>
    </row>
    <row r="393" spans="1:7" hidden="1">
      <c r="A393" s="692">
        <v>162</v>
      </c>
      <c r="B393" s="696">
        <v>43962</v>
      </c>
      <c r="C393" s="692" t="s">
        <v>3480</v>
      </c>
      <c r="D393" s="688">
        <v>445.03</v>
      </c>
      <c r="E393" s="1025"/>
      <c r="F393" s="1028"/>
      <c r="G393" s="688">
        <v>244.76650000000001</v>
      </c>
    </row>
    <row r="394" spans="1:7">
      <c r="A394" s="692">
        <v>163</v>
      </c>
      <c r="B394" s="695">
        <v>43963</v>
      </c>
      <c r="C394" s="694" t="s">
        <v>3487</v>
      </c>
      <c r="D394" s="693">
        <v>1431812.73</v>
      </c>
      <c r="E394" s="1025"/>
      <c r="F394" s="1028"/>
      <c r="G394" s="688">
        <v>771693</v>
      </c>
    </row>
    <row r="395" spans="1:7">
      <c r="A395" s="692">
        <v>164</v>
      </c>
      <c r="B395" s="695">
        <v>43963</v>
      </c>
      <c r="C395" s="694" t="s">
        <v>3472</v>
      </c>
      <c r="D395" s="693">
        <v>92883.6</v>
      </c>
      <c r="E395" s="1025"/>
      <c r="F395" s="1028"/>
      <c r="G395" s="688">
        <v>51085.98</v>
      </c>
    </row>
    <row r="396" spans="1:7" hidden="1">
      <c r="A396" s="692">
        <v>165</v>
      </c>
      <c r="B396" s="696">
        <v>43964</v>
      </c>
      <c r="C396" s="692" t="s">
        <v>3483</v>
      </c>
      <c r="D396" s="688">
        <v>29982.880000000001</v>
      </c>
      <c r="E396" s="1025"/>
      <c r="F396" s="1028"/>
      <c r="G396" s="688">
        <v>16133</v>
      </c>
    </row>
    <row r="397" spans="1:7">
      <c r="A397" s="692">
        <v>166</v>
      </c>
      <c r="B397" s="695">
        <v>43964</v>
      </c>
      <c r="C397" s="694" t="s">
        <v>3474</v>
      </c>
      <c r="D397" s="693">
        <v>150039.12</v>
      </c>
      <c r="E397" s="1025"/>
      <c r="F397" s="1028"/>
      <c r="G397" s="688">
        <v>82521.516000000003</v>
      </c>
    </row>
    <row r="398" spans="1:7">
      <c r="A398" s="692">
        <v>167</v>
      </c>
      <c r="B398" s="695">
        <v>43965</v>
      </c>
      <c r="C398" s="694" t="s">
        <v>3472</v>
      </c>
      <c r="D398" s="693">
        <v>75242.38</v>
      </c>
      <c r="E398" s="1025"/>
      <c r="F398" s="1028"/>
      <c r="G398" s="688">
        <v>38596</v>
      </c>
    </row>
    <row r="399" spans="1:7" hidden="1">
      <c r="A399" s="692">
        <v>168</v>
      </c>
      <c r="B399" s="696">
        <v>43966</v>
      </c>
      <c r="C399" s="692" t="s">
        <v>3483</v>
      </c>
      <c r="D399" s="688">
        <v>23989.97</v>
      </c>
      <c r="E399" s="1025"/>
      <c r="F399" s="1028"/>
      <c r="G399" s="688">
        <v>12809</v>
      </c>
    </row>
    <row r="400" spans="1:7">
      <c r="A400" s="692">
        <v>169</v>
      </c>
      <c r="B400" s="695">
        <v>43966</v>
      </c>
      <c r="C400" s="694" t="s">
        <v>3474</v>
      </c>
      <c r="D400" s="693">
        <v>117235.26</v>
      </c>
      <c r="E400" s="1025"/>
      <c r="F400" s="1028"/>
      <c r="G400" s="688">
        <v>64479.392999999996</v>
      </c>
    </row>
    <row r="401" spans="1:7" hidden="1">
      <c r="A401" s="692">
        <v>170</v>
      </c>
      <c r="B401" s="696">
        <v>43966</v>
      </c>
      <c r="C401" s="692" t="s">
        <v>3486</v>
      </c>
      <c r="D401" s="688">
        <v>7360</v>
      </c>
      <c r="E401" s="1025"/>
      <c r="F401" s="1028"/>
      <c r="G401" s="688">
        <v>4048</v>
      </c>
    </row>
    <row r="402" spans="1:7">
      <c r="A402" s="692">
        <v>171</v>
      </c>
      <c r="B402" s="695">
        <v>43970</v>
      </c>
      <c r="C402" s="694" t="s">
        <v>3474</v>
      </c>
      <c r="D402" s="693">
        <v>144789.9</v>
      </c>
      <c r="E402" s="1025"/>
      <c r="F402" s="1028"/>
      <c r="G402" s="688">
        <v>79634.445000000007</v>
      </c>
    </row>
    <row r="403" spans="1:7">
      <c r="A403" s="692">
        <v>172</v>
      </c>
      <c r="B403" s="695">
        <v>43970</v>
      </c>
      <c r="C403" s="694" t="s">
        <v>3472</v>
      </c>
      <c r="D403" s="693">
        <v>71801.3</v>
      </c>
      <c r="E403" s="1025"/>
      <c r="F403" s="1028"/>
      <c r="G403" s="688">
        <v>39490.714999999997</v>
      </c>
    </row>
    <row r="404" spans="1:7" hidden="1">
      <c r="A404" s="690">
        <v>173</v>
      </c>
      <c r="B404" s="691">
        <v>43971</v>
      </c>
      <c r="C404" s="690" t="s">
        <v>3479</v>
      </c>
      <c r="D404" s="689">
        <v>2916829.13</v>
      </c>
      <c r="E404" s="1025"/>
      <c r="F404" s="1028"/>
      <c r="G404" s="688">
        <v>1604256.0215</v>
      </c>
    </row>
    <row r="405" spans="1:7" hidden="1">
      <c r="A405" s="692">
        <v>174</v>
      </c>
      <c r="B405" s="696">
        <v>43971</v>
      </c>
      <c r="C405" s="692" t="s">
        <v>3481</v>
      </c>
      <c r="D405" s="688">
        <v>34493.4</v>
      </c>
      <c r="E405" s="1025"/>
      <c r="F405" s="1028"/>
      <c r="G405" s="688">
        <v>18971.37</v>
      </c>
    </row>
    <row r="406" spans="1:7" hidden="1">
      <c r="A406" s="692">
        <v>175</v>
      </c>
      <c r="B406" s="696">
        <v>43971</v>
      </c>
      <c r="C406" s="692" t="s">
        <v>3483</v>
      </c>
      <c r="D406" s="688">
        <v>11908</v>
      </c>
      <c r="E406" s="1025"/>
      <c r="F406" s="1028"/>
      <c r="G406" s="688">
        <v>6549.4</v>
      </c>
    </row>
    <row r="407" spans="1:7" hidden="1">
      <c r="A407" s="690">
        <v>176</v>
      </c>
      <c r="B407" s="691">
        <v>43972</v>
      </c>
      <c r="C407" s="690" t="s">
        <v>3477</v>
      </c>
      <c r="D407" s="689">
        <v>951452.32</v>
      </c>
      <c r="E407" s="1025"/>
      <c r="F407" s="1028"/>
      <c r="G407" s="688">
        <v>523298.77600000001</v>
      </c>
    </row>
    <row r="408" spans="1:7">
      <c r="A408" s="692">
        <v>177</v>
      </c>
      <c r="B408" s="695">
        <v>43972</v>
      </c>
      <c r="C408" s="694" t="s">
        <v>3472</v>
      </c>
      <c r="D408" s="693">
        <v>132494.54999999999</v>
      </c>
      <c r="E408" s="1025"/>
      <c r="F408" s="1028"/>
      <c r="G408" s="688">
        <v>72872.002500000002</v>
      </c>
    </row>
    <row r="409" spans="1:7" hidden="1">
      <c r="A409" s="692">
        <v>178</v>
      </c>
      <c r="B409" s="696">
        <v>43973</v>
      </c>
      <c r="C409" s="692" t="s">
        <v>3476</v>
      </c>
      <c r="D409" s="688">
        <v>9771.27</v>
      </c>
      <c r="E409" s="1025"/>
      <c r="F409" s="1028"/>
      <c r="G409" s="688">
        <v>5374.1985000000004</v>
      </c>
    </row>
    <row r="410" spans="1:7" hidden="1">
      <c r="A410" s="692">
        <v>179</v>
      </c>
      <c r="B410" s="696">
        <v>43977</v>
      </c>
      <c r="C410" s="692" t="s">
        <v>3480</v>
      </c>
      <c r="D410" s="688">
        <v>5830.96</v>
      </c>
      <c r="E410" s="1025"/>
      <c r="F410" s="1028"/>
      <c r="G410" s="688">
        <v>3207.0279999999998</v>
      </c>
    </row>
    <row r="411" spans="1:7" hidden="1">
      <c r="A411" s="692">
        <v>180</v>
      </c>
      <c r="B411" s="696">
        <v>43977</v>
      </c>
      <c r="C411" s="692" t="s">
        <v>3483</v>
      </c>
      <c r="D411" s="688">
        <v>71656.600000000006</v>
      </c>
      <c r="E411" s="1025"/>
      <c r="F411" s="1028"/>
      <c r="G411" s="688">
        <v>39026</v>
      </c>
    </row>
    <row r="412" spans="1:7" hidden="1">
      <c r="A412" s="692">
        <v>181</v>
      </c>
      <c r="B412" s="696">
        <v>43977</v>
      </c>
      <c r="C412" s="692" t="s">
        <v>3475</v>
      </c>
      <c r="D412" s="688">
        <v>323684.74</v>
      </c>
      <c r="E412" s="1025"/>
      <c r="F412" s="1028"/>
      <c r="G412" s="688">
        <v>177359</v>
      </c>
    </row>
    <row r="413" spans="1:7" hidden="1">
      <c r="A413" s="692">
        <v>182</v>
      </c>
      <c r="B413" s="696">
        <v>43977</v>
      </c>
      <c r="C413" s="692" t="s">
        <v>3478</v>
      </c>
      <c r="D413" s="688">
        <v>6543.6</v>
      </c>
      <c r="E413" s="1025"/>
      <c r="F413" s="1028"/>
      <c r="G413" s="688">
        <v>3598.98</v>
      </c>
    </row>
    <row r="414" spans="1:7">
      <c r="A414" s="692">
        <v>183</v>
      </c>
      <c r="B414" s="695">
        <v>43978</v>
      </c>
      <c r="C414" s="694" t="s">
        <v>3472</v>
      </c>
      <c r="D414" s="693">
        <v>25304.400000000001</v>
      </c>
      <c r="E414" s="1025"/>
      <c r="F414" s="1028"/>
      <c r="G414" s="688">
        <v>13917.42</v>
      </c>
    </row>
    <row r="415" spans="1:7">
      <c r="A415" s="692">
        <v>184</v>
      </c>
      <c r="B415" s="695">
        <v>43978</v>
      </c>
      <c r="C415" s="694" t="s">
        <v>3474</v>
      </c>
      <c r="D415" s="693">
        <v>21880</v>
      </c>
      <c r="E415" s="1025"/>
      <c r="F415" s="1028"/>
      <c r="G415" s="688">
        <v>12034</v>
      </c>
    </row>
    <row r="416" spans="1:7" hidden="1">
      <c r="A416" s="692">
        <v>185</v>
      </c>
      <c r="B416" s="696">
        <v>43979</v>
      </c>
      <c r="C416" s="692" t="s">
        <v>3483</v>
      </c>
      <c r="D416" s="688">
        <v>18102.080000000002</v>
      </c>
      <c r="E416" s="1025"/>
      <c r="F416" s="1028"/>
      <c r="G416" s="688">
        <v>9956.1440000000002</v>
      </c>
    </row>
    <row r="417" spans="1:7" hidden="1">
      <c r="A417" s="692">
        <v>186</v>
      </c>
      <c r="B417" s="696">
        <v>43980</v>
      </c>
      <c r="C417" s="692" t="s">
        <v>3483</v>
      </c>
      <c r="D417" s="688">
        <v>52163.5</v>
      </c>
      <c r="E417" s="1025"/>
      <c r="F417" s="1028"/>
      <c r="G417" s="688">
        <v>28689.924999999999</v>
      </c>
    </row>
    <row r="418" spans="1:7">
      <c r="A418" s="692">
        <v>187</v>
      </c>
      <c r="B418" s="695">
        <v>43980</v>
      </c>
      <c r="C418" s="694" t="s">
        <v>3472</v>
      </c>
      <c r="D418" s="693">
        <v>79843.44</v>
      </c>
      <c r="E418" s="1025"/>
      <c r="F418" s="1028"/>
      <c r="G418" s="688">
        <v>38933</v>
      </c>
    </row>
    <row r="419" spans="1:7">
      <c r="A419" s="692">
        <v>188</v>
      </c>
      <c r="B419" s="695">
        <v>43980</v>
      </c>
      <c r="C419" s="694" t="s">
        <v>3474</v>
      </c>
      <c r="D419" s="693">
        <v>95642.92</v>
      </c>
      <c r="E419" s="1025"/>
      <c r="F419" s="1028"/>
      <c r="G419" s="688">
        <v>52603.606</v>
      </c>
    </row>
    <row r="420" spans="1:7" hidden="1">
      <c r="A420" s="692">
        <v>189</v>
      </c>
      <c r="B420" s="691">
        <v>43980</v>
      </c>
      <c r="C420" s="690" t="s">
        <v>3471</v>
      </c>
      <c r="D420" s="689">
        <v>2985010.7</v>
      </c>
      <c r="E420" s="1026"/>
      <c r="F420" s="1029"/>
      <c r="G420" s="688">
        <v>1632854</v>
      </c>
    </row>
    <row r="421" spans="1:7" hidden="1">
      <c r="A421" s="692">
        <v>190</v>
      </c>
      <c r="B421" s="696">
        <v>43983</v>
      </c>
      <c r="C421" s="692" t="s">
        <v>3490</v>
      </c>
      <c r="D421" s="688">
        <v>4134.51</v>
      </c>
      <c r="E421" s="1024">
        <v>2020.06</v>
      </c>
      <c r="F421" s="1027">
        <f>SUM(D421:D459)</f>
        <v>11273924.730000002</v>
      </c>
      <c r="G421" s="688">
        <v>2273.9805000000001</v>
      </c>
    </row>
    <row r="422" spans="1:7">
      <c r="A422" s="692">
        <v>191</v>
      </c>
      <c r="B422" s="695">
        <v>43983</v>
      </c>
      <c r="C422" s="694" t="s">
        <v>3489</v>
      </c>
      <c r="D422" s="693">
        <v>413743.8</v>
      </c>
      <c r="E422" s="1025"/>
      <c r="F422" s="1028"/>
      <c r="G422" s="688">
        <v>227559.09</v>
      </c>
    </row>
    <row r="423" spans="1:7">
      <c r="A423" s="692">
        <v>192</v>
      </c>
      <c r="B423" s="695">
        <v>43985</v>
      </c>
      <c r="C423" s="694" t="s">
        <v>3474</v>
      </c>
      <c r="D423" s="693">
        <v>1180</v>
      </c>
      <c r="E423" s="1025"/>
      <c r="F423" s="1028"/>
      <c r="G423" s="688">
        <v>649</v>
      </c>
    </row>
    <row r="424" spans="1:7">
      <c r="A424" s="692">
        <v>193</v>
      </c>
      <c r="B424" s="695">
        <v>43985</v>
      </c>
      <c r="C424" s="694" t="s">
        <v>3474</v>
      </c>
      <c r="D424" s="693">
        <v>93708.1</v>
      </c>
      <c r="E424" s="1025"/>
      <c r="F424" s="1028"/>
      <c r="G424" s="688">
        <v>51539.455000000002</v>
      </c>
    </row>
    <row r="425" spans="1:7" hidden="1">
      <c r="A425" s="692">
        <v>194</v>
      </c>
      <c r="B425" s="696">
        <v>43985</v>
      </c>
      <c r="C425" s="692" t="s">
        <v>3483</v>
      </c>
      <c r="D425" s="688">
        <v>4864.63</v>
      </c>
      <c r="E425" s="1025"/>
      <c r="F425" s="1028"/>
      <c r="G425" s="688">
        <v>2675.5464999999999</v>
      </c>
    </row>
    <row r="426" spans="1:7" hidden="1">
      <c r="A426" s="692">
        <v>195</v>
      </c>
      <c r="B426" s="696">
        <v>43986</v>
      </c>
      <c r="C426" s="692" t="s">
        <v>3488</v>
      </c>
      <c r="D426" s="688">
        <v>920</v>
      </c>
      <c r="E426" s="1025"/>
      <c r="F426" s="1028"/>
      <c r="G426" s="688">
        <v>506</v>
      </c>
    </row>
    <row r="427" spans="1:7">
      <c r="A427" s="692">
        <v>196</v>
      </c>
      <c r="B427" s="695">
        <v>43987</v>
      </c>
      <c r="C427" s="694" t="s">
        <v>3472</v>
      </c>
      <c r="D427" s="693">
        <v>175945.81</v>
      </c>
      <c r="E427" s="1025"/>
      <c r="F427" s="1028"/>
      <c r="G427" s="688">
        <v>96770.195500000002</v>
      </c>
    </row>
    <row r="428" spans="1:7" hidden="1">
      <c r="A428" s="692">
        <v>197</v>
      </c>
      <c r="B428" s="696">
        <v>43987</v>
      </c>
      <c r="C428" s="692" t="s">
        <v>3483</v>
      </c>
      <c r="D428" s="688">
        <v>82101.710000000006</v>
      </c>
      <c r="E428" s="1025"/>
      <c r="F428" s="1028"/>
      <c r="G428" s="688">
        <v>45154</v>
      </c>
    </row>
    <row r="429" spans="1:7" hidden="1">
      <c r="A429" s="692">
        <v>198</v>
      </c>
      <c r="B429" s="696">
        <v>43987</v>
      </c>
      <c r="C429" s="692" t="s">
        <v>3473</v>
      </c>
      <c r="D429" s="688">
        <v>2755</v>
      </c>
      <c r="E429" s="1025"/>
      <c r="F429" s="1028"/>
      <c r="G429" s="688">
        <v>1515.25</v>
      </c>
    </row>
    <row r="430" spans="1:7" hidden="1">
      <c r="A430" s="692">
        <v>199</v>
      </c>
      <c r="B430" s="696">
        <v>43990</v>
      </c>
      <c r="C430" s="692" t="s">
        <v>3480</v>
      </c>
      <c r="D430" s="688">
        <v>4226.07</v>
      </c>
      <c r="E430" s="1025"/>
      <c r="F430" s="1028"/>
      <c r="G430" s="688">
        <v>2324.3384999999998</v>
      </c>
    </row>
    <row r="431" spans="1:7" hidden="1">
      <c r="A431" s="692">
        <v>200</v>
      </c>
      <c r="B431" s="696">
        <v>43991</v>
      </c>
      <c r="C431" s="692" t="s">
        <v>3482</v>
      </c>
      <c r="D431" s="688">
        <v>575</v>
      </c>
      <c r="E431" s="1025"/>
      <c r="F431" s="1028"/>
      <c r="G431" s="688">
        <v>316.25</v>
      </c>
    </row>
    <row r="432" spans="1:7">
      <c r="A432" s="692">
        <v>201</v>
      </c>
      <c r="B432" s="695">
        <v>43991</v>
      </c>
      <c r="C432" s="694" t="s">
        <v>3474</v>
      </c>
      <c r="D432" s="693">
        <v>226491.85</v>
      </c>
      <c r="E432" s="1025"/>
      <c r="F432" s="1028"/>
      <c r="G432" s="688">
        <v>124570.5175</v>
      </c>
    </row>
    <row r="433" spans="1:7">
      <c r="A433" s="692">
        <v>202</v>
      </c>
      <c r="B433" s="695">
        <v>43991</v>
      </c>
      <c r="C433" s="694" t="s">
        <v>3472</v>
      </c>
      <c r="D433" s="693">
        <v>114386.45</v>
      </c>
      <c r="E433" s="1025"/>
      <c r="F433" s="1028"/>
      <c r="G433" s="688">
        <v>62912.547500000001</v>
      </c>
    </row>
    <row r="434" spans="1:7">
      <c r="A434" s="692">
        <v>203</v>
      </c>
      <c r="B434" s="695">
        <v>43993</v>
      </c>
      <c r="C434" s="694" t="s">
        <v>3487</v>
      </c>
      <c r="D434" s="693">
        <v>1741636.16</v>
      </c>
      <c r="E434" s="1025"/>
      <c r="F434" s="1028"/>
      <c r="G434" s="688">
        <v>942575</v>
      </c>
    </row>
    <row r="435" spans="1:7">
      <c r="A435" s="692">
        <v>204</v>
      </c>
      <c r="B435" s="695">
        <v>43993</v>
      </c>
      <c r="C435" s="694" t="s">
        <v>3472</v>
      </c>
      <c r="D435" s="693">
        <v>137128.17000000001</v>
      </c>
      <c r="E435" s="1025"/>
      <c r="F435" s="1028"/>
      <c r="G435" s="688">
        <v>68706</v>
      </c>
    </row>
    <row r="436" spans="1:7" hidden="1">
      <c r="A436" s="692">
        <v>205</v>
      </c>
      <c r="B436" s="696">
        <v>43993</v>
      </c>
      <c r="C436" s="692" t="s">
        <v>3483</v>
      </c>
      <c r="D436" s="688">
        <v>42564.6</v>
      </c>
      <c r="E436" s="1025"/>
      <c r="F436" s="1028"/>
      <c r="G436" s="688">
        <v>19935</v>
      </c>
    </row>
    <row r="437" spans="1:7" hidden="1">
      <c r="A437" s="692">
        <v>206</v>
      </c>
      <c r="B437" s="696">
        <v>43994</v>
      </c>
      <c r="C437" s="692" t="s">
        <v>3486</v>
      </c>
      <c r="D437" s="688">
        <v>4800</v>
      </c>
      <c r="E437" s="1025"/>
      <c r="F437" s="1028"/>
      <c r="G437" s="688">
        <v>2640</v>
      </c>
    </row>
    <row r="438" spans="1:7">
      <c r="A438" s="692">
        <v>207</v>
      </c>
      <c r="B438" s="695">
        <v>43994</v>
      </c>
      <c r="C438" s="694" t="s">
        <v>3474</v>
      </c>
      <c r="D438" s="693">
        <v>145261.95000000001</v>
      </c>
      <c r="E438" s="1025"/>
      <c r="F438" s="1028"/>
      <c r="G438" s="688">
        <v>79894.072499999995</v>
      </c>
    </row>
    <row r="439" spans="1:7" hidden="1">
      <c r="A439" s="692">
        <v>208</v>
      </c>
      <c r="B439" s="696">
        <v>43997</v>
      </c>
      <c r="C439" s="692" t="s">
        <v>3485</v>
      </c>
      <c r="D439" s="688">
        <v>627.21</v>
      </c>
      <c r="E439" s="1025"/>
      <c r="F439" s="1028"/>
      <c r="G439" s="688">
        <v>344.96550000000002</v>
      </c>
    </row>
    <row r="440" spans="1:7" hidden="1">
      <c r="A440" s="692">
        <v>209</v>
      </c>
      <c r="B440" s="696">
        <v>43998</v>
      </c>
      <c r="C440" s="692" t="s">
        <v>3484</v>
      </c>
      <c r="D440" s="688">
        <v>1820</v>
      </c>
      <c r="E440" s="1025"/>
      <c r="F440" s="1028"/>
      <c r="G440" s="688">
        <v>1001</v>
      </c>
    </row>
    <row r="441" spans="1:7" hidden="1">
      <c r="A441" s="692">
        <v>210</v>
      </c>
      <c r="B441" s="696">
        <v>43998</v>
      </c>
      <c r="C441" s="692" t="s">
        <v>3483</v>
      </c>
      <c r="D441" s="688">
        <v>21600.57</v>
      </c>
      <c r="E441" s="1025"/>
      <c r="F441" s="1028"/>
      <c r="G441" s="688">
        <v>11880.3135</v>
      </c>
    </row>
    <row r="442" spans="1:7">
      <c r="A442" s="692">
        <v>211</v>
      </c>
      <c r="B442" s="695">
        <v>43998</v>
      </c>
      <c r="C442" s="694" t="s">
        <v>3472</v>
      </c>
      <c r="D442" s="693">
        <v>86588.28</v>
      </c>
      <c r="E442" s="1025"/>
      <c r="F442" s="1028"/>
      <c r="G442" s="688">
        <v>47623.553999999996</v>
      </c>
    </row>
    <row r="443" spans="1:7" hidden="1">
      <c r="A443" s="692">
        <v>212</v>
      </c>
      <c r="B443" s="696">
        <v>43998</v>
      </c>
      <c r="C443" s="692" t="s">
        <v>3482</v>
      </c>
      <c r="D443" s="688">
        <v>2910.27</v>
      </c>
      <c r="E443" s="1025"/>
      <c r="F443" s="1028"/>
      <c r="G443" s="688">
        <v>1600.6485</v>
      </c>
    </row>
    <row r="444" spans="1:7" hidden="1">
      <c r="A444" s="692">
        <v>213</v>
      </c>
      <c r="B444" s="696">
        <v>43999</v>
      </c>
      <c r="C444" s="692" t="s">
        <v>3482</v>
      </c>
      <c r="D444" s="688">
        <v>575</v>
      </c>
      <c r="E444" s="1025"/>
      <c r="F444" s="1028"/>
      <c r="G444" s="688">
        <v>316.25</v>
      </c>
    </row>
    <row r="445" spans="1:7" hidden="1">
      <c r="A445" s="692">
        <v>214</v>
      </c>
      <c r="B445" s="696">
        <v>44001</v>
      </c>
      <c r="C445" s="692" t="s">
        <v>3481</v>
      </c>
      <c r="D445" s="688">
        <v>154475.20000000001</v>
      </c>
      <c r="E445" s="1025"/>
      <c r="F445" s="1028"/>
      <c r="G445" s="688">
        <v>84961.36</v>
      </c>
    </row>
    <row r="446" spans="1:7" hidden="1">
      <c r="A446" s="692">
        <v>215</v>
      </c>
      <c r="B446" s="696">
        <v>44004</v>
      </c>
      <c r="C446" s="692" t="s">
        <v>3480</v>
      </c>
      <c r="D446" s="688">
        <v>6345.02</v>
      </c>
      <c r="E446" s="1025"/>
      <c r="F446" s="1028"/>
      <c r="G446" s="688">
        <v>3489.761</v>
      </c>
    </row>
    <row r="447" spans="1:7">
      <c r="A447" s="692">
        <v>216</v>
      </c>
      <c r="B447" s="695">
        <v>44004</v>
      </c>
      <c r="C447" s="694" t="s">
        <v>3472</v>
      </c>
      <c r="D447" s="693">
        <v>142374.37</v>
      </c>
      <c r="E447" s="1025"/>
      <c r="F447" s="1028"/>
      <c r="G447" s="688">
        <v>78305.9035</v>
      </c>
    </row>
    <row r="448" spans="1:7" hidden="1">
      <c r="A448" s="690">
        <v>217</v>
      </c>
      <c r="B448" s="691">
        <v>44004</v>
      </c>
      <c r="C448" s="690" t="s">
        <v>3479</v>
      </c>
      <c r="D448" s="689">
        <v>3432974.48</v>
      </c>
      <c r="E448" s="1025"/>
      <c r="F448" s="1028"/>
      <c r="G448" s="688">
        <v>1888135.9639999999</v>
      </c>
    </row>
    <row r="449" spans="1:7">
      <c r="A449" s="692">
        <v>218</v>
      </c>
      <c r="B449" s="695">
        <v>44005</v>
      </c>
      <c r="C449" s="694" t="s">
        <v>3472</v>
      </c>
      <c r="D449" s="693">
        <v>92940</v>
      </c>
      <c r="E449" s="1025"/>
      <c r="F449" s="1028"/>
      <c r="G449" s="688">
        <v>51117</v>
      </c>
    </row>
    <row r="450" spans="1:7" hidden="1">
      <c r="A450" s="690">
        <v>219</v>
      </c>
      <c r="B450" s="691">
        <v>44005</v>
      </c>
      <c r="C450" s="690" t="s">
        <v>3477</v>
      </c>
      <c r="D450" s="689">
        <v>43185</v>
      </c>
      <c r="E450" s="1025"/>
      <c r="F450" s="1028"/>
      <c r="G450" s="688">
        <v>18480</v>
      </c>
    </row>
    <row r="451" spans="1:7" hidden="1">
      <c r="A451" s="692">
        <v>220</v>
      </c>
      <c r="B451" s="696">
        <v>44006</v>
      </c>
      <c r="C451" s="692" t="s">
        <v>3478</v>
      </c>
      <c r="D451" s="688">
        <v>62.81</v>
      </c>
      <c r="E451" s="1025"/>
      <c r="F451" s="1028"/>
      <c r="G451" s="688">
        <v>34.545499999999997</v>
      </c>
    </row>
    <row r="452" spans="1:7" hidden="1">
      <c r="A452" s="690">
        <v>221</v>
      </c>
      <c r="B452" s="691">
        <v>44006</v>
      </c>
      <c r="C452" s="690" t="s">
        <v>3477</v>
      </c>
      <c r="D452" s="689">
        <v>1166480.46</v>
      </c>
      <c r="E452" s="1025"/>
      <c r="F452" s="1028"/>
      <c r="G452" s="688">
        <v>641564.25300000003</v>
      </c>
    </row>
    <row r="453" spans="1:7" hidden="1">
      <c r="A453" s="692">
        <v>222</v>
      </c>
      <c r="B453" s="696">
        <v>44010</v>
      </c>
      <c r="C453" s="692" t="s">
        <v>3476</v>
      </c>
      <c r="D453" s="688">
        <v>8481.6200000000008</v>
      </c>
      <c r="E453" s="1025"/>
      <c r="F453" s="1028"/>
      <c r="G453" s="688">
        <v>4664.8909999999996</v>
      </c>
    </row>
    <row r="454" spans="1:7" hidden="1">
      <c r="A454" s="692">
        <v>223</v>
      </c>
      <c r="B454" s="696">
        <v>44010</v>
      </c>
      <c r="C454" s="692" t="s">
        <v>3475</v>
      </c>
      <c r="D454" s="688">
        <v>184256.24</v>
      </c>
      <c r="E454" s="1025"/>
      <c r="F454" s="1028"/>
      <c r="G454" s="688">
        <v>101340.932</v>
      </c>
    </row>
    <row r="455" spans="1:7">
      <c r="A455" s="692">
        <v>224</v>
      </c>
      <c r="B455" s="695">
        <v>44010</v>
      </c>
      <c r="C455" s="694" t="s">
        <v>3474</v>
      </c>
      <c r="D455" s="693">
        <v>139735.38</v>
      </c>
      <c r="E455" s="1025"/>
      <c r="F455" s="1028"/>
      <c r="G455" s="688">
        <v>76854.459000000003</v>
      </c>
    </row>
    <row r="456" spans="1:7" hidden="1">
      <c r="A456" s="692">
        <v>225</v>
      </c>
      <c r="B456" s="696">
        <v>44011</v>
      </c>
      <c r="C456" s="692" t="s">
        <v>3473</v>
      </c>
      <c r="D456" s="688">
        <v>2755</v>
      </c>
      <c r="E456" s="1025"/>
      <c r="F456" s="1028"/>
      <c r="G456" s="688">
        <v>1515.25</v>
      </c>
    </row>
    <row r="457" spans="1:7">
      <c r="A457" s="692">
        <v>226</v>
      </c>
      <c r="B457" s="695">
        <v>44012</v>
      </c>
      <c r="C457" s="694" t="s">
        <v>3472</v>
      </c>
      <c r="D457" s="693">
        <v>64823.8</v>
      </c>
      <c r="E457" s="1025"/>
      <c r="F457" s="1028"/>
      <c r="G457" s="688">
        <v>35653.089999999997</v>
      </c>
    </row>
    <row r="458" spans="1:7">
      <c r="A458" s="692">
        <v>227</v>
      </c>
      <c r="B458" s="695">
        <v>44012</v>
      </c>
      <c r="C458" s="694" t="s">
        <v>3472</v>
      </c>
      <c r="D458" s="693">
        <v>72756.399999999994</v>
      </c>
      <c r="E458" s="1025"/>
      <c r="F458" s="1028"/>
      <c r="G458" s="688">
        <v>40016.019999999997</v>
      </c>
    </row>
    <row r="459" spans="1:7" hidden="1">
      <c r="A459" s="692">
        <v>228</v>
      </c>
      <c r="B459" s="691">
        <v>44012</v>
      </c>
      <c r="C459" s="690" t="s">
        <v>3471</v>
      </c>
      <c r="D459" s="689">
        <v>2451733.81</v>
      </c>
      <c r="E459" s="1026"/>
      <c r="F459" s="1029"/>
      <c r="G459" s="688">
        <v>1341685</v>
      </c>
    </row>
    <row r="460" spans="1:7" hidden="1">
      <c r="A460" s="686"/>
      <c r="B460" s="1022" t="s">
        <v>3470</v>
      </c>
      <c r="C460" s="1023"/>
      <c r="D460" s="687">
        <f>SUM(D232:D459)</f>
        <v>57558784.350000024</v>
      </c>
      <c r="E460" s="686"/>
      <c r="F460" s="685"/>
      <c r="G460" s="685">
        <f>SUM(G232:G459)</f>
        <v>31197166.5295</v>
      </c>
    </row>
    <row r="461" spans="1:7" hidden="1">
      <c r="F461" s="681">
        <v>11405</v>
      </c>
    </row>
    <row r="462" spans="1:7" hidden="1">
      <c r="F462" s="681">
        <f>F461*7</f>
        <v>79835</v>
      </c>
    </row>
    <row r="463" spans="1:7">
      <c r="D463" s="682">
        <f>SUBTOTAL(9,D4:D459)</f>
        <v>31098182.28000002</v>
      </c>
      <c r="G463" s="682">
        <f>SUBTOTAL(9,G4:G459)</f>
        <v>17059151.554999996</v>
      </c>
    </row>
    <row r="464" spans="1:7">
      <c r="D464" s="682">
        <f>D463*7</f>
        <v>217687275.96000013</v>
      </c>
      <c r="G464" s="682">
        <f>G463*7</f>
        <v>119414060.88499998</v>
      </c>
    </row>
    <row r="465" spans="4:4">
      <c r="D465" s="682">
        <f>D464*0.15</f>
        <v>32653091.394000016</v>
      </c>
    </row>
  </sheetData>
  <autoFilter ref="A2:G462">
    <filterColumn colId="2">
      <colorFilter dxfId="4"/>
    </filterColumn>
  </autoFilter>
  <mergeCells count="27">
    <mergeCell ref="E421:E459"/>
    <mergeCell ref="F421:F459"/>
    <mergeCell ref="B460:C460"/>
    <mergeCell ref="E310:E338"/>
    <mergeCell ref="F310:F338"/>
    <mergeCell ref="E339:E380"/>
    <mergeCell ref="F339:F380"/>
    <mergeCell ref="E381:E420"/>
    <mergeCell ref="F381:F420"/>
    <mergeCell ref="B231:C231"/>
    <mergeCell ref="E232:E256"/>
    <mergeCell ref="F232:F256"/>
    <mergeCell ref="E257:E309"/>
    <mergeCell ref="F257:F309"/>
    <mergeCell ref="F190:F230"/>
    <mergeCell ref="E87:E123"/>
    <mergeCell ref="F87:F123"/>
    <mergeCell ref="C1:F1"/>
    <mergeCell ref="E3:E43"/>
    <mergeCell ref="F3:F43"/>
    <mergeCell ref="E44:E86"/>
    <mergeCell ref="F44:F86"/>
    <mergeCell ref="E124:E167"/>
    <mergeCell ref="F124:F167"/>
    <mergeCell ref="E168:E189"/>
    <mergeCell ref="F168:F189"/>
    <mergeCell ref="E190:E230"/>
  </mergeCells>
  <phoneticPr fontId="92" type="noConversion"/>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2"/>
  <dimension ref="F4:H13"/>
  <sheetViews>
    <sheetView workbookViewId="0">
      <selection activeCell="D47" sqref="D47"/>
    </sheetView>
  </sheetViews>
  <sheetFormatPr defaultRowHeight="13.5"/>
  <sheetData>
    <row r="4" spans="6:8">
      <c r="F4">
        <v>116</v>
      </c>
    </row>
    <row r="5" spans="6:8">
      <c r="F5">
        <v>92</v>
      </c>
    </row>
    <row r="8" spans="6:8">
      <c r="G8" t="s">
        <v>3516</v>
      </c>
      <c r="H8">
        <v>3.7</v>
      </c>
    </row>
    <row r="9" spans="6:8">
      <c r="G9" t="s">
        <v>3517</v>
      </c>
      <c r="H9">
        <v>2</v>
      </c>
    </row>
    <row r="10" spans="6:8">
      <c r="G10" t="s">
        <v>3518</v>
      </c>
      <c r="H10">
        <v>0.4</v>
      </c>
    </row>
    <row r="11" spans="6:8">
      <c r="G11" t="s">
        <v>3519</v>
      </c>
      <c r="H11">
        <v>0.52</v>
      </c>
    </row>
    <row r="12" spans="6:8">
      <c r="G12" t="s">
        <v>3520</v>
      </c>
      <c r="H12">
        <v>3.77</v>
      </c>
    </row>
    <row r="13" spans="6:8">
      <c r="H13">
        <v>10.39</v>
      </c>
    </row>
  </sheetData>
  <phoneticPr fontId="92" type="noConversion"/>
  <pageMargins left="0.7" right="0.7" top="0.75" bottom="0.75" header="0.3" footer="0.3"/>
  <pageSetup paperSize="9"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3"/>
  <dimension ref="F8:F13"/>
  <sheetViews>
    <sheetView workbookViewId="0">
      <selection activeCell="E19" sqref="E19"/>
    </sheetView>
  </sheetViews>
  <sheetFormatPr defaultRowHeight="13.5"/>
  <sheetData>
    <row r="8" spans="6:6">
      <c r="F8">
        <v>63.7</v>
      </c>
    </row>
    <row r="9" spans="6:6">
      <c r="F9">
        <v>266.3</v>
      </c>
    </row>
    <row r="10" spans="6:6">
      <c r="F10">
        <v>724</v>
      </c>
    </row>
    <row r="11" spans="6:6">
      <c r="F11">
        <v>126.5</v>
      </c>
    </row>
    <row r="12" spans="6:6">
      <c r="F12">
        <f>SUM(F8:F11)</f>
        <v>1180.5</v>
      </c>
    </row>
    <row r="13" spans="6:6">
      <c r="F13">
        <f>F12*8</f>
        <v>9444</v>
      </c>
    </row>
  </sheetData>
  <phoneticPr fontId="92" type="noConversion"/>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4"/>
  <dimension ref="D1:I13"/>
  <sheetViews>
    <sheetView workbookViewId="0">
      <selection activeCell="E19" sqref="E19"/>
    </sheetView>
  </sheetViews>
  <sheetFormatPr defaultRowHeight="13.5"/>
  <sheetData>
    <row r="1" spans="4:9">
      <c r="I1">
        <v>192</v>
      </c>
    </row>
    <row r="2" spans="4:9">
      <c r="I2">
        <v>210</v>
      </c>
    </row>
    <row r="3" spans="4:9">
      <c r="D3" s="395"/>
      <c r="I3">
        <v>330</v>
      </c>
    </row>
    <row r="4" spans="4:9">
      <c r="I4">
        <v>280</v>
      </c>
    </row>
    <row r="5" spans="4:9">
      <c r="I5">
        <v>72.5</v>
      </c>
    </row>
    <row r="6" spans="4:9">
      <c r="I6">
        <v>74</v>
      </c>
    </row>
    <row r="7" spans="4:9">
      <c r="I7">
        <v>71</v>
      </c>
    </row>
    <row r="8" spans="4:9">
      <c r="I8">
        <v>74</v>
      </c>
    </row>
    <row r="9" spans="4:9">
      <c r="I9">
        <v>50</v>
      </c>
    </row>
    <row r="10" spans="4:9">
      <c r="I10">
        <v>88</v>
      </c>
    </row>
    <row r="11" spans="4:9">
      <c r="I11">
        <v>87</v>
      </c>
    </row>
    <row r="12" spans="4:9">
      <c r="I12">
        <f>SUM(I1:I11)</f>
        <v>1528.5</v>
      </c>
    </row>
    <row r="13" spans="4:9">
      <c r="I13">
        <f>I12*7</f>
        <v>10699.5</v>
      </c>
    </row>
  </sheetData>
  <phoneticPr fontId="92" type="noConversion"/>
  <pageMargins left="0.7" right="0.7" top="0.75" bottom="0.75" header="0.3" footer="0.3"/>
  <pageSetup paperSize="9"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81"/>
  <sheetViews>
    <sheetView topLeftCell="A163" workbookViewId="0">
      <selection activeCell="H176" sqref="H176:H178"/>
    </sheetView>
  </sheetViews>
  <sheetFormatPr defaultRowHeight="13.5"/>
  <cols>
    <col min="2" max="2" width="39.75" customWidth="1"/>
    <col min="4" max="4" width="29.875" customWidth="1"/>
    <col min="5" max="5" width="13.875" customWidth="1"/>
    <col min="6" max="6" width="15.125" customWidth="1"/>
    <col min="7" max="7" width="13.375" customWidth="1"/>
    <col min="8" max="8" width="12.5" customWidth="1"/>
  </cols>
  <sheetData>
    <row r="1" spans="1:8">
      <c r="A1" s="750" t="s">
        <v>180</v>
      </c>
      <c r="B1" s="750" t="s">
        <v>2</v>
      </c>
      <c r="C1" s="750" t="s">
        <v>18</v>
      </c>
      <c r="D1" s="750" t="s">
        <v>3595</v>
      </c>
      <c r="E1" s="750" t="s">
        <v>3594</v>
      </c>
      <c r="F1" s="750" t="s">
        <v>3593</v>
      </c>
      <c r="G1" s="750" t="s">
        <v>3592</v>
      </c>
      <c r="H1" s="754" t="s">
        <v>3598</v>
      </c>
    </row>
    <row r="2" spans="1:8">
      <c r="A2" s="753">
        <v>1</v>
      </c>
      <c r="B2" s="749" t="s">
        <v>3566</v>
      </c>
      <c r="C2" s="749" t="s">
        <v>129</v>
      </c>
      <c r="D2" s="749" t="s">
        <v>85</v>
      </c>
      <c r="E2" s="752">
        <v>14127</v>
      </c>
      <c r="F2" s="752">
        <v>13788.89</v>
      </c>
      <c r="G2" s="752">
        <v>338.11</v>
      </c>
      <c r="H2" s="1033">
        <v>3434.45</v>
      </c>
    </row>
    <row r="3" spans="1:8">
      <c r="A3" s="753">
        <v>2</v>
      </c>
      <c r="B3" s="749" t="s">
        <v>3562</v>
      </c>
      <c r="C3" s="749" t="s">
        <v>129</v>
      </c>
      <c r="D3" s="749" t="s">
        <v>101</v>
      </c>
      <c r="E3" s="752">
        <v>17.3</v>
      </c>
      <c r="F3" s="752">
        <v>15.5</v>
      </c>
      <c r="G3" s="752">
        <v>1.8</v>
      </c>
      <c r="H3" s="1034"/>
    </row>
    <row r="4" spans="1:8">
      <c r="A4" s="753">
        <v>2</v>
      </c>
      <c r="B4" s="749" t="s">
        <v>3562</v>
      </c>
      <c r="C4" s="749" t="s">
        <v>129</v>
      </c>
      <c r="D4" s="749" t="s">
        <v>98</v>
      </c>
      <c r="E4" s="752">
        <v>2.4</v>
      </c>
      <c r="F4" s="752">
        <v>2.4</v>
      </c>
      <c r="G4" s="752">
        <v>0</v>
      </c>
      <c r="H4" s="1034"/>
    </row>
    <row r="5" spans="1:8">
      <c r="A5" s="753">
        <v>2</v>
      </c>
      <c r="B5" s="749" t="s">
        <v>3562</v>
      </c>
      <c r="C5" s="749" t="s">
        <v>129</v>
      </c>
      <c r="D5" s="749" t="s">
        <v>85</v>
      </c>
      <c r="E5" s="752">
        <v>2976.19</v>
      </c>
      <c r="F5" s="752">
        <v>2913.36</v>
      </c>
      <c r="G5" s="752">
        <v>62.83</v>
      </c>
      <c r="H5" s="1034"/>
    </row>
    <row r="6" spans="1:8">
      <c r="A6" s="753">
        <v>3</v>
      </c>
      <c r="B6" s="749" t="s">
        <v>3463</v>
      </c>
      <c r="C6" s="749" t="s">
        <v>129</v>
      </c>
      <c r="D6" s="749" t="s">
        <v>3268</v>
      </c>
      <c r="E6" s="752">
        <v>370</v>
      </c>
      <c r="F6" s="752">
        <v>361.14</v>
      </c>
      <c r="G6" s="752">
        <v>8.86</v>
      </c>
      <c r="H6" s="1034"/>
    </row>
    <row r="7" spans="1:8">
      <c r="A7" s="753">
        <v>4</v>
      </c>
      <c r="B7" s="749" t="s">
        <v>152</v>
      </c>
      <c r="C7" s="749" t="s">
        <v>129</v>
      </c>
      <c r="D7" s="749" t="s">
        <v>98</v>
      </c>
      <c r="E7" s="752">
        <v>30.6</v>
      </c>
      <c r="F7" s="752">
        <v>5.860000000000003</v>
      </c>
      <c r="G7" s="752">
        <v>24.74</v>
      </c>
      <c r="H7" s="1034"/>
    </row>
    <row r="8" spans="1:8">
      <c r="A8" s="753">
        <v>5</v>
      </c>
      <c r="B8" s="749" t="s">
        <v>3580</v>
      </c>
      <c r="C8" s="749" t="s">
        <v>129</v>
      </c>
      <c r="D8" s="749" t="s">
        <v>85</v>
      </c>
      <c r="E8" s="752">
        <v>448</v>
      </c>
      <c r="F8" s="752">
        <v>437.99</v>
      </c>
      <c r="G8" s="752">
        <v>10.01</v>
      </c>
      <c r="H8" s="1034"/>
    </row>
    <row r="9" spans="1:8">
      <c r="A9" s="753">
        <v>6</v>
      </c>
      <c r="B9" s="749" t="s">
        <v>3541</v>
      </c>
      <c r="C9" s="749" t="s">
        <v>129</v>
      </c>
      <c r="D9" s="749" t="s">
        <v>85</v>
      </c>
      <c r="E9" s="752">
        <v>2032</v>
      </c>
      <c r="F9" s="752">
        <v>1987.44</v>
      </c>
      <c r="G9" s="752">
        <v>44.56</v>
      </c>
      <c r="H9" s="1034"/>
    </row>
    <row r="10" spans="1:8">
      <c r="A10" s="753">
        <v>7</v>
      </c>
      <c r="B10" s="749" t="s">
        <v>141</v>
      </c>
      <c r="C10" s="749" t="s">
        <v>129</v>
      </c>
      <c r="D10" s="749" t="s">
        <v>85</v>
      </c>
      <c r="E10" s="752">
        <v>419.57</v>
      </c>
      <c r="F10" s="752">
        <v>411.71</v>
      </c>
      <c r="G10" s="752">
        <v>7.86</v>
      </c>
      <c r="H10" s="1034"/>
    </row>
    <row r="11" spans="1:8">
      <c r="A11" s="753">
        <v>8</v>
      </c>
      <c r="B11" s="749" t="s">
        <v>3535</v>
      </c>
      <c r="C11" s="749" t="s">
        <v>129</v>
      </c>
      <c r="D11" s="749" t="s">
        <v>85</v>
      </c>
      <c r="E11" s="752">
        <v>3318</v>
      </c>
      <c r="F11" s="752">
        <v>3306.47</v>
      </c>
      <c r="G11" s="752">
        <v>11.53</v>
      </c>
      <c r="H11" s="1034"/>
    </row>
    <row r="12" spans="1:8">
      <c r="A12" s="753">
        <v>9</v>
      </c>
      <c r="B12" s="749" t="s">
        <v>3349</v>
      </c>
      <c r="C12" s="749" t="s">
        <v>129</v>
      </c>
      <c r="D12" s="749" t="s">
        <v>101</v>
      </c>
      <c r="E12" s="752">
        <v>1.9</v>
      </c>
      <c r="F12" s="752">
        <v>0.10999999999999988</v>
      </c>
      <c r="G12" s="752">
        <v>1.79</v>
      </c>
      <c r="H12" s="1034"/>
    </row>
    <row r="13" spans="1:8">
      <c r="A13" s="753">
        <v>9</v>
      </c>
      <c r="B13" s="749" t="s">
        <v>3349</v>
      </c>
      <c r="C13" s="749" t="s">
        <v>129</v>
      </c>
      <c r="D13" s="749" t="s">
        <v>98</v>
      </c>
      <c r="E13" s="752">
        <v>29.25</v>
      </c>
      <c r="F13" s="752">
        <v>18.53</v>
      </c>
      <c r="G13" s="752">
        <v>10.72</v>
      </c>
      <c r="H13" s="1034"/>
    </row>
    <row r="14" spans="1:8">
      <c r="A14" s="753">
        <v>9</v>
      </c>
      <c r="B14" s="749" t="s">
        <v>3349</v>
      </c>
      <c r="C14" s="749" t="s">
        <v>129</v>
      </c>
      <c r="D14" s="749" t="s">
        <v>3268</v>
      </c>
      <c r="E14" s="752">
        <v>3050</v>
      </c>
      <c r="F14" s="752">
        <v>2977.07</v>
      </c>
      <c r="G14" s="752">
        <v>72.930000000000007</v>
      </c>
      <c r="H14" s="1034"/>
    </row>
    <row r="15" spans="1:8">
      <c r="A15" s="753">
        <v>10</v>
      </c>
      <c r="B15" s="749" t="s">
        <v>3542</v>
      </c>
      <c r="C15" s="749" t="s">
        <v>129</v>
      </c>
      <c r="D15" s="749" t="s">
        <v>85</v>
      </c>
      <c r="E15" s="752">
        <v>353.63</v>
      </c>
      <c r="F15" s="752">
        <v>351.98</v>
      </c>
      <c r="G15" s="752">
        <v>1.65</v>
      </c>
      <c r="H15" s="1034"/>
    </row>
    <row r="16" spans="1:8">
      <c r="A16" s="753">
        <v>11</v>
      </c>
      <c r="B16" s="749" t="s">
        <v>138</v>
      </c>
      <c r="C16" s="749" t="s">
        <v>129</v>
      </c>
      <c r="D16" s="749" t="s">
        <v>101</v>
      </c>
      <c r="E16" s="752">
        <v>3.31</v>
      </c>
      <c r="F16" s="752">
        <v>0.31000000000000005</v>
      </c>
      <c r="G16" s="752">
        <v>3</v>
      </c>
      <c r="H16" s="1034"/>
    </row>
    <row r="17" spans="1:8">
      <c r="A17" s="753">
        <v>11</v>
      </c>
      <c r="B17" s="749" t="s">
        <v>138</v>
      </c>
      <c r="C17" s="749" t="s">
        <v>129</v>
      </c>
      <c r="D17" s="749" t="s">
        <v>98</v>
      </c>
      <c r="E17" s="752">
        <v>4.25</v>
      </c>
      <c r="F17" s="752">
        <v>0.25</v>
      </c>
      <c r="G17" s="752">
        <v>4</v>
      </c>
      <c r="H17" s="1034"/>
    </row>
    <row r="18" spans="1:8">
      <c r="A18" s="753">
        <v>11</v>
      </c>
      <c r="B18" s="749" t="s">
        <v>138</v>
      </c>
      <c r="C18" s="749" t="s">
        <v>129</v>
      </c>
      <c r="D18" s="749" t="s">
        <v>3268</v>
      </c>
      <c r="E18" s="752">
        <v>2643</v>
      </c>
      <c r="F18" s="752">
        <v>2581.35</v>
      </c>
      <c r="G18" s="752">
        <v>61.65</v>
      </c>
      <c r="H18" s="1034"/>
    </row>
    <row r="19" spans="1:8">
      <c r="A19" s="753">
        <v>12</v>
      </c>
      <c r="B19" s="749" t="s">
        <v>3549</v>
      </c>
      <c r="C19" s="749" t="s">
        <v>129</v>
      </c>
      <c r="D19" s="749" t="s">
        <v>85</v>
      </c>
      <c r="E19" s="752">
        <v>2412</v>
      </c>
      <c r="F19" s="752">
        <v>2400.66</v>
      </c>
      <c r="G19" s="752">
        <v>11.34</v>
      </c>
      <c r="H19" s="1034"/>
    </row>
    <row r="20" spans="1:8">
      <c r="A20" s="753">
        <v>13</v>
      </c>
      <c r="B20" s="749" t="s">
        <v>3537</v>
      </c>
      <c r="C20" s="749" t="s">
        <v>129</v>
      </c>
      <c r="D20" s="749" t="s">
        <v>85</v>
      </c>
      <c r="E20" s="752">
        <v>703</v>
      </c>
      <c r="F20" s="752">
        <v>686.17</v>
      </c>
      <c r="G20" s="752">
        <v>16.829999999999998</v>
      </c>
      <c r="H20" s="1034"/>
    </row>
    <row r="21" spans="1:8">
      <c r="A21" s="753">
        <v>14</v>
      </c>
      <c r="B21" s="749" t="s">
        <v>3165</v>
      </c>
      <c r="C21" s="749" t="s">
        <v>129</v>
      </c>
      <c r="D21" s="749" t="s">
        <v>101</v>
      </c>
      <c r="E21" s="752">
        <v>3.3</v>
      </c>
      <c r="F21" s="752">
        <v>0</v>
      </c>
      <c r="G21" s="752">
        <v>3.3</v>
      </c>
      <c r="H21" s="1034"/>
    </row>
    <row r="22" spans="1:8">
      <c r="A22" s="753">
        <v>14</v>
      </c>
      <c r="B22" s="749" t="s">
        <v>3165</v>
      </c>
      <c r="C22" s="749" t="s">
        <v>129</v>
      </c>
      <c r="D22" s="749" t="s">
        <v>98</v>
      </c>
      <c r="E22" s="752">
        <v>22</v>
      </c>
      <c r="F22" s="752">
        <v>17.2</v>
      </c>
      <c r="G22" s="752">
        <v>4.8</v>
      </c>
      <c r="H22" s="1034"/>
    </row>
    <row r="23" spans="1:8">
      <c r="A23" s="753">
        <v>14</v>
      </c>
      <c r="B23" s="751" t="s">
        <v>3143</v>
      </c>
      <c r="C23" s="749" t="s">
        <v>129</v>
      </c>
      <c r="D23" s="749" t="s">
        <v>3268</v>
      </c>
      <c r="E23" s="752">
        <v>10740.25</v>
      </c>
      <c r="F23" s="752">
        <v>10483.200000000001</v>
      </c>
      <c r="G23" s="752">
        <v>257.05</v>
      </c>
      <c r="H23" s="1034"/>
    </row>
    <row r="24" spans="1:8">
      <c r="A24" s="753">
        <v>15</v>
      </c>
      <c r="B24" s="749" t="s">
        <v>3531</v>
      </c>
      <c r="C24" s="749" t="s">
        <v>129</v>
      </c>
      <c r="D24" s="749" t="s">
        <v>104</v>
      </c>
      <c r="E24" s="752">
        <v>10</v>
      </c>
      <c r="F24" s="752">
        <v>10</v>
      </c>
      <c r="G24" s="752">
        <v>0</v>
      </c>
      <c r="H24" s="1034"/>
    </row>
    <row r="25" spans="1:8">
      <c r="A25" s="753">
        <v>15</v>
      </c>
      <c r="B25" s="749" t="s">
        <v>3531</v>
      </c>
      <c r="C25" s="749" t="s">
        <v>129</v>
      </c>
      <c r="D25" s="749" t="s">
        <v>98</v>
      </c>
      <c r="E25" s="752">
        <v>0.45</v>
      </c>
      <c r="F25" s="752">
        <v>0</v>
      </c>
      <c r="G25" s="752">
        <v>0.45</v>
      </c>
      <c r="H25" s="1034"/>
    </row>
    <row r="26" spans="1:8">
      <c r="A26" s="753">
        <v>15</v>
      </c>
      <c r="B26" s="749" t="s">
        <v>3531</v>
      </c>
      <c r="C26" s="749" t="s">
        <v>129</v>
      </c>
      <c r="D26" s="749" t="s">
        <v>99</v>
      </c>
      <c r="E26" s="752">
        <v>0.6</v>
      </c>
      <c r="F26" s="752">
        <v>0.6</v>
      </c>
      <c r="G26" s="752">
        <v>0</v>
      </c>
      <c r="H26" s="1034"/>
    </row>
    <row r="27" spans="1:8">
      <c r="A27" s="753">
        <v>15</v>
      </c>
      <c r="B27" s="749" t="s">
        <v>3531</v>
      </c>
      <c r="C27" s="749" t="s">
        <v>129</v>
      </c>
      <c r="D27" s="749" t="s">
        <v>85</v>
      </c>
      <c r="E27" s="752">
        <v>357.87799999999999</v>
      </c>
      <c r="F27" s="752">
        <v>349.33799999999997</v>
      </c>
      <c r="G27" s="752">
        <v>8.5399999999999991</v>
      </c>
      <c r="H27" s="1034"/>
    </row>
    <row r="28" spans="1:8">
      <c r="A28" s="753">
        <v>16</v>
      </c>
      <c r="B28" s="749" t="s">
        <v>3551</v>
      </c>
      <c r="C28" s="749" t="s">
        <v>129</v>
      </c>
      <c r="D28" s="749" t="s">
        <v>104</v>
      </c>
      <c r="E28" s="752">
        <v>60</v>
      </c>
      <c r="F28" s="752">
        <v>0</v>
      </c>
      <c r="G28" s="752">
        <v>60</v>
      </c>
      <c r="H28" s="1034"/>
    </row>
    <row r="29" spans="1:8">
      <c r="A29" s="753">
        <v>16</v>
      </c>
      <c r="B29" s="749" t="s">
        <v>3551</v>
      </c>
      <c r="C29" s="749" t="s">
        <v>129</v>
      </c>
      <c r="D29" s="749" t="s">
        <v>105</v>
      </c>
      <c r="E29" s="752">
        <v>60</v>
      </c>
      <c r="F29" s="752">
        <v>0</v>
      </c>
      <c r="G29" s="752">
        <v>60</v>
      </c>
      <c r="H29" s="1034"/>
    </row>
    <row r="30" spans="1:8">
      <c r="A30" s="753">
        <v>16</v>
      </c>
      <c r="B30" s="749" t="s">
        <v>3551</v>
      </c>
      <c r="C30" s="749" t="s">
        <v>129</v>
      </c>
      <c r="D30" s="749" t="s">
        <v>85</v>
      </c>
      <c r="E30" s="752">
        <v>2302</v>
      </c>
      <c r="F30" s="752">
        <v>2247.12</v>
      </c>
      <c r="G30" s="752">
        <v>54.88</v>
      </c>
      <c r="H30" s="1034"/>
    </row>
    <row r="31" spans="1:8">
      <c r="A31" s="753">
        <v>17</v>
      </c>
      <c r="B31" s="749" t="s">
        <v>136</v>
      </c>
      <c r="C31" s="749" t="s">
        <v>129</v>
      </c>
      <c r="D31" s="749" t="s">
        <v>101</v>
      </c>
      <c r="E31" s="752">
        <v>30</v>
      </c>
      <c r="F31" s="752">
        <v>21.1</v>
      </c>
      <c r="G31" s="752">
        <v>8.9</v>
      </c>
      <c r="H31" s="1034"/>
    </row>
    <row r="32" spans="1:8">
      <c r="A32" s="753">
        <v>17</v>
      </c>
      <c r="B32" s="749" t="s">
        <v>136</v>
      </c>
      <c r="C32" s="749" t="s">
        <v>129</v>
      </c>
      <c r="D32" s="749" t="s">
        <v>98</v>
      </c>
      <c r="E32" s="752">
        <v>51</v>
      </c>
      <c r="F32" s="752">
        <v>44.3</v>
      </c>
      <c r="G32" s="752">
        <v>6.7</v>
      </c>
      <c r="H32" s="1034"/>
    </row>
    <row r="33" spans="1:11">
      <c r="A33" s="753">
        <v>18</v>
      </c>
      <c r="B33" s="749" t="s">
        <v>3554</v>
      </c>
      <c r="C33" s="749" t="s">
        <v>129</v>
      </c>
      <c r="D33" s="749" t="s">
        <v>105</v>
      </c>
      <c r="E33" s="752">
        <v>10</v>
      </c>
      <c r="F33" s="752">
        <v>0</v>
      </c>
      <c r="G33" s="752">
        <v>10</v>
      </c>
      <c r="H33" s="1034"/>
    </row>
    <row r="34" spans="1:11">
      <c r="A34" s="753">
        <v>18</v>
      </c>
      <c r="B34" s="749" t="s">
        <v>3554</v>
      </c>
      <c r="C34" s="749" t="s">
        <v>129</v>
      </c>
      <c r="D34" s="749" t="s">
        <v>101</v>
      </c>
      <c r="E34" s="752">
        <v>10.7</v>
      </c>
      <c r="F34" s="752">
        <v>10.7</v>
      </c>
      <c r="G34" s="752">
        <v>0</v>
      </c>
      <c r="H34" s="1034"/>
    </row>
    <row r="35" spans="1:11">
      <c r="A35" s="753">
        <v>18</v>
      </c>
      <c r="B35" s="749" t="s">
        <v>3554</v>
      </c>
      <c r="C35" s="749" t="s">
        <v>129</v>
      </c>
      <c r="D35" s="749" t="s">
        <v>85</v>
      </c>
      <c r="E35" s="752">
        <v>950.64</v>
      </c>
      <c r="F35" s="752">
        <v>928.53</v>
      </c>
      <c r="G35" s="752">
        <v>22.11</v>
      </c>
      <c r="H35" s="1034"/>
    </row>
    <row r="36" spans="1:11">
      <c r="A36" s="753">
        <v>19</v>
      </c>
      <c r="B36" s="749" t="s">
        <v>3547</v>
      </c>
      <c r="C36" s="749" t="s">
        <v>129</v>
      </c>
      <c r="D36" s="749" t="s">
        <v>85</v>
      </c>
      <c r="E36" s="752">
        <v>1019.37</v>
      </c>
      <c r="F36" s="752">
        <v>1011.34</v>
      </c>
      <c r="G36" s="752">
        <v>8.0299999999999994</v>
      </c>
      <c r="H36" s="1034"/>
    </row>
    <row r="37" spans="1:11">
      <c r="A37" s="753">
        <v>20</v>
      </c>
      <c r="B37" s="749" t="s">
        <v>3572</v>
      </c>
      <c r="C37" s="749" t="s">
        <v>129</v>
      </c>
      <c r="D37" s="749" t="s">
        <v>85</v>
      </c>
      <c r="E37" s="752">
        <v>4072.24</v>
      </c>
      <c r="F37" s="752">
        <v>3975.24</v>
      </c>
      <c r="G37" s="752">
        <v>97</v>
      </c>
      <c r="H37" s="1034"/>
    </row>
    <row r="38" spans="1:11">
      <c r="A38" s="753">
        <v>21</v>
      </c>
      <c r="B38" s="749" t="s">
        <v>3538</v>
      </c>
      <c r="C38" s="749" t="s">
        <v>129</v>
      </c>
      <c r="D38" s="749" t="s">
        <v>85</v>
      </c>
      <c r="E38" s="752">
        <v>5313</v>
      </c>
      <c r="F38" s="752">
        <v>5293.95</v>
      </c>
      <c r="G38" s="752">
        <v>19.05</v>
      </c>
      <c r="H38" s="1034"/>
    </row>
    <row r="39" spans="1:11">
      <c r="A39" s="753">
        <v>22</v>
      </c>
      <c r="B39" s="749" t="s">
        <v>3548</v>
      </c>
      <c r="C39" s="749" t="s">
        <v>129</v>
      </c>
      <c r="D39" s="749" t="s">
        <v>85</v>
      </c>
      <c r="E39" s="752">
        <v>366.6</v>
      </c>
      <c r="F39" s="752">
        <v>357.89000000000004</v>
      </c>
      <c r="G39" s="752">
        <v>8.7100000000000009</v>
      </c>
      <c r="H39" s="1034"/>
    </row>
    <row r="40" spans="1:11">
      <c r="A40" s="753">
        <v>23</v>
      </c>
      <c r="B40" s="749" t="s">
        <v>145</v>
      </c>
      <c r="C40" s="749" t="s">
        <v>129</v>
      </c>
      <c r="D40" s="749" t="s">
        <v>101</v>
      </c>
      <c r="E40" s="752">
        <v>4.9000000000000004</v>
      </c>
      <c r="F40" s="752">
        <v>0.30000000000000071</v>
      </c>
      <c r="G40" s="752">
        <v>4.5999999999999996</v>
      </c>
      <c r="H40" s="1034"/>
    </row>
    <row r="41" spans="1:11">
      <c r="A41" s="753">
        <v>24</v>
      </c>
      <c r="B41" s="749" t="s">
        <v>3266</v>
      </c>
      <c r="C41" s="749" t="s">
        <v>129</v>
      </c>
      <c r="D41" s="749" t="s">
        <v>101</v>
      </c>
      <c r="E41" s="752">
        <v>4</v>
      </c>
      <c r="F41" s="752">
        <v>0.29999999999999982</v>
      </c>
      <c r="G41" s="752">
        <v>3.7</v>
      </c>
      <c r="H41" s="1034"/>
    </row>
    <row r="42" spans="1:11">
      <c r="A42" s="753">
        <v>24</v>
      </c>
      <c r="B42" s="749" t="s">
        <v>3266</v>
      </c>
      <c r="C42" s="749" t="s">
        <v>129</v>
      </c>
      <c r="D42" s="751" t="s">
        <v>3600</v>
      </c>
      <c r="E42" s="752">
        <v>30</v>
      </c>
      <c r="F42" s="752">
        <v>0</v>
      </c>
      <c r="G42" s="752">
        <v>30</v>
      </c>
      <c r="H42" s="1034"/>
    </row>
    <row r="43" spans="1:11">
      <c r="A43" s="753">
        <v>24</v>
      </c>
      <c r="B43" s="749" t="s">
        <v>3266</v>
      </c>
      <c r="C43" s="749" t="s">
        <v>129</v>
      </c>
      <c r="D43" s="749" t="s">
        <v>98</v>
      </c>
      <c r="E43" s="752">
        <v>22</v>
      </c>
      <c r="F43" s="752">
        <v>12.57</v>
      </c>
      <c r="G43" s="752">
        <v>9.43</v>
      </c>
      <c r="H43" s="1034"/>
    </row>
    <row r="44" spans="1:11">
      <c r="A44" s="753">
        <v>24</v>
      </c>
      <c r="B44" s="749" t="s">
        <v>3266</v>
      </c>
      <c r="C44" s="749" t="s">
        <v>129</v>
      </c>
      <c r="D44" s="749" t="s">
        <v>105</v>
      </c>
      <c r="E44" s="752"/>
      <c r="F44" s="752">
        <v>0</v>
      </c>
      <c r="G44" s="752">
        <v>0</v>
      </c>
      <c r="H44" s="1034"/>
    </row>
    <row r="45" spans="1:11">
      <c r="A45" s="753">
        <v>25</v>
      </c>
      <c r="B45" s="749" t="s">
        <v>3561</v>
      </c>
      <c r="C45" s="749" t="s">
        <v>129</v>
      </c>
      <c r="D45" s="749" t="s">
        <v>101</v>
      </c>
      <c r="E45" s="752">
        <v>2.6</v>
      </c>
      <c r="F45" s="752">
        <v>0.14999999999999991</v>
      </c>
      <c r="G45" s="752">
        <v>2.4500000000000002</v>
      </c>
      <c r="H45" s="1034"/>
    </row>
    <row r="46" spans="1:11">
      <c r="A46" s="753">
        <v>25</v>
      </c>
      <c r="B46" s="749" t="s">
        <v>3561</v>
      </c>
      <c r="C46" s="749" t="s">
        <v>129</v>
      </c>
      <c r="D46" s="749" t="s">
        <v>98</v>
      </c>
      <c r="E46" s="752">
        <v>8.5500000000000007</v>
      </c>
      <c r="F46" s="752">
        <v>0</v>
      </c>
      <c r="G46" s="752">
        <v>8.5500000000000007</v>
      </c>
      <c r="H46" s="1034"/>
    </row>
    <row r="47" spans="1:11">
      <c r="A47" s="753">
        <v>25</v>
      </c>
      <c r="B47" s="749" t="s">
        <v>3561</v>
      </c>
      <c r="C47" s="749" t="s">
        <v>129</v>
      </c>
      <c r="D47" s="749" t="s">
        <v>85</v>
      </c>
      <c r="E47" s="752">
        <v>4203</v>
      </c>
      <c r="F47" s="752">
        <v>4116.55</v>
      </c>
      <c r="G47" s="752">
        <v>86.45</v>
      </c>
      <c r="H47" s="1034"/>
      <c r="J47" t="s">
        <v>129</v>
      </c>
      <c r="K47">
        <v>3434.4500000000012</v>
      </c>
    </row>
    <row r="48" spans="1:11">
      <c r="A48" s="753">
        <v>26</v>
      </c>
      <c r="B48" s="749" t="s">
        <v>3583</v>
      </c>
      <c r="C48" s="749" t="s">
        <v>129</v>
      </c>
      <c r="D48" s="749" t="s">
        <v>85</v>
      </c>
      <c r="E48" s="752">
        <v>2190</v>
      </c>
      <c r="F48" s="752">
        <v>2175.16</v>
      </c>
      <c r="G48" s="752">
        <v>14.84</v>
      </c>
      <c r="H48" s="1034"/>
      <c r="J48" t="s">
        <v>134</v>
      </c>
      <c r="K48">
        <v>757.22</v>
      </c>
    </row>
    <row r="49" spans="1:11">
      <c r="A49" s="753">
        <v>27</v>
      </c>
      <c r="B49" s="749" t="s">
        <v>3532</v>
      </c>
      <c r="C49" s="749" t="s">
        <v>129</v>
      </c>
      <c r="D49" s="749" t="s">
        <v>101</v>
      </c>
      <c r="E49" s="752">
        <v>1.1000000000000001</v>
      </c>
      <c r="F49" s="752">
        <v>0.10000000000000009</v>
      </c>
      <c r="G49" s="752">
        <v>1</v>
      </c>
      <c r="H49" s="1034"/>
      <c r="J49" t="s">
        <v>89</v>
      </c>
      <c r="K49">
        <v>582.37</v>
      </c>
    </row>
    <row r="50" spans="1:11">
      <c r="A50" s="753">
        <v>27</v>
      </c>
      <c r="B50" s="749" t="s">
        <v>3532</v>
      </c>
      <c r="C50" s="749" t="s">
        <v>129</v>
      </c>
      <c r="D50" s="749" t="s">
        <v>99</v>
      </c>
      <c r="E50" s="752">
        <v>8</v>
      </c>
      <c r="F50" s="752">
        <v>0</v>
      </c>
      <c r="G50" s="752">
        <v>8</v>
      </c>
      <c r="H50" s="1034"/>
      <c r="J50" t="s">
        <v>73</v>
      </c>
      <c r="K50">
        <v>881.13</v>
      </c>
    </row>
    <row r="51" spans="1:11">
      <c r="A51" s="753">
        <v>27</v>
      </c>
      <c r="B51" s="749" t="s">
        <v>3532</v>
      </c>
      <c r="C51" s="749" t="s">
        <v>129</v>
      </c>
      <c r="D51" s="749" t="s">
        <v>85</v>
      </c>
      <c r="E51" s="752">
        <v>2937</v>
      </c>
      <c r="F51" s="752">
        <v>2926.57</v>
      </c>
      <c r="G51" s="752">
        <v>10.43</v>
      </c>
      <c r="H51" s="1034"/>
      <c r="J51" t="s">
        <v>3205</v>
      </c>
      <c r="K51">
        <v>154.27000000000001</v>
      </c>
    </row>
    <row r="52" spans="1:11">
      <c r="A52" s="753">
        <v>28</v>
      </c>
      <c r="B52" s="749" t="s">
        <v>3126</v>
      </c>
      <c r="C52" s="749" t="s">
        <v>129</v>
      </c>
      <c r="D52" s="749" t="s">
        <v>101</v>
      </c>
      <c r="E52" s="752">
        <v>8.9</v>
      </c>
      <c r="F52" s="752">
        <v>0.5</v>
      </c>
      <c r="G52" s="752">
        <v>8.4</v>
      </c>
      <c r="H52" s="1034"/>
      <c r="J52" t="s">
        <v>84</v>
      </c>
      <c r="K52">
        <v>49.58</v>
      </c>
    </row>
    <row r="53" spans="1:11">
      <c r="A53" s="753">
        <v>28</v>
      </c>
      <c r="B53" s="749" t="s">
        <v>3126</v>
      </c>
      <c r="C53" s="749" t="s">
        <v>129</v>
      </c>
      <c r="D53" s="749" t="s">
        <v>104</v>
      </c>
      <c r="E53" s="752">
        <v>10</v>
      </c>
      <c r="F53" s="752">
        <v>10</v>
      </c>
      <c r="G53" s="752">
        <v>0</v>
      </c>
      <c r="H53" s="1034"/>
      <c r="J53" t="s">
        <v>172</v>
      </c>
      <c r="K53">
        <v>16.75</v>
      </c>
    </row>
    <row r="54" spans="1:11">
      <c r="A54" s="753">
        <v>29</v>
      </c>
      <c r="B54" s="749" t="s">
        <v>3588</v>
      </c>
      <c r="C54" s="749" t="s">
        <v>129</v>
      </c>
      <c r="D54" s="749" t="s">
        <v>85</v>
      </c>
      <c r="E54" s="752">
        <v>2660.47</v>
      </c>
      <c r="F54" s="752">
        <v>2599.3361000000004</v>
      </c>
      <c r="G54" s="752">
        <v>61.14</v>
      </c>
      <c r="H54" s="1034"/>
      <c r="J54" t="s">
        <v>3596</v>
      </c>
      <c r="K54">
        <v>12.23</v>
      </c>
    </row>
    <row r="55" spans="1:11">
      <c r="A55" s="753">
        <v>30</v>
      </c>
      <c r="B55" s="749" t="s">
        <v>132</v>
      </c>
      <c r="C55" s="749" t="s">
        <v>129</v>
      </c>
      <c r="D55" s="749" t="s">
        <v>85</v>
      </c>
      <c r="E55" s="752">
        <v>2639.5</v>
      </c>
      <c r="F55" s="752">
        <v>2631.24</v>
      </c>
      <c r="G55" s="752">
        <v>8.26</v>
      </c>
      <c r="H55" s="1034"/>
    </row>
    <row r="56" spans="1:11">
      <c r="A56" s="753">
        <v>31</v>
      </c>
      <c r="B56" s="749" t="s">
        <v>3577</v>
      </c>
      <c r="C56" s="749" t="s">
        <v>129</v>
      </c>
      <c r="D56" s="749" t="s">
        <v>85</v>
      </c>
      <c r="E56" s="752">
        <v>1270</v>
      </c>
      <c r="F56" s="752">
        <v>1256.98</v>
      </c>
      <c r="G56" s="752">
        <v>13.02</v>
      </c>
      <c r="H56" s="1034"/>
    </row>
    <row r="57" spans="1:11">
      <c r="A57" s="753">
        <v>32</v>
      </c>
      <c r="B57" s="749" t="s">
        <v>3575</v>
      </c>
      <c r="C57" s="749" t="s">
        <v>129</v>
      </c>
      <c r="D57" s="749" t="s">
        <v>85</v>
      </c>
      <c r="E57" s="752">
        <v>5040</v>
      </c>
      <c r="F57" s="752">
        <v>5023.49</v>
      </c>
      <c r="G57" s="752">
        <v>16.510000000000002</v>
      </c>
      <c r="H57" s="1034"/>
    </row>
    <row r="58" spans="1:11">
      <c r="A58" s="753">
        <v>33</v>
      </c>
      <c r="B58" s="749" t="s">
        <v>151</v>
      </c>
      <c r="C58" s="749" t="s">
        <v>129</v>
      </c>
      <c r="D58" s="749" t="s">
        <v>85</v>
      </c>
      <c r="E58" s="752">
        <v>1923.6</v>
      </c>
      <c r="F58" s="752">
        <v>1878.7199999999998</v>
      </c>
      <c r="G58" s="752">
        <v>44.88</v>
      </c>
      <c r="H58" s="1034"/>
    </row>
    <row r="59" spans="1:11">
      <c r="A59" s="753">
        <v>34</v>
      </c>
      <c r="B59" s="749" t="s">
        <v>3578</v>
      </c>
      <c r="C59" s="749" t="s">
        <v>129</v>
      </c>
      <c r="D59" s="749" t="s">
        <v>85</v>
      </c>
      <c r="E59" s="752">
        <v>892</v>
      </c>
      <c r="F59" s="752">
        <v>870.65</v>
      </c>
      <c r="G59" s="752">
        <v>21.35</v>
      </c>
      <c r="H59" s="1034"/>
    </row>
    <row r="60" spans="1:11">
      <c r="A60" s="753">
        <v>35</v>
      </c>
      <c r="B60" s="749" t="s">
        <v>3550</v>
      </c>
      <c r="C60" s="749" t="s">
        <v>129</v>
      </c>
      <c r="D60" s="749" t="s">
        <v>85</v>
      </c>
      <c r="E60" s="752">
        <v>1074</v>
      </c>
      <c r="F60" s="752">
        <v>1048.29</v>
      </c>
      <c r="G60" s="752">
        <v>25.71</v>
      </c>
      <c r="H60" s="1034"/>
    </row>
    <row r="61" spans="1:11">
      <c r="A61" s="753">
        <v>36</v>
      </c>
      <c r="B61" s="749" t="s">
        <v>3584</v>
      </c>
      <c r="C61" s="749" t="s">
        <v>129</v>
      </c>
      <c r="D61" s="749" t="s">
        <v>101</v>
      </c>
      <c r="E61" s="752">
        <v>2.8</v>
      </c>
      <c r="F61" s="752">
        <v>0.19999999999999973</v>
      </c>
      <c r="G61" s="752">
        <v>2.6</v>
      </c>
      <c r="H61" s="1034"/>
    </row>
    <row r="62" spans="1:11">
      <c r="A62" s="753">
        <v>36</v>
      </c>
      <c r="B62" s="749" t="s">
        <v>3584</v>
      </c>
      <c r="C62" s="749" t="s">
        <v>129</v>
      </c>
      <c r="D62" s="749" t="s">
        <v>105</v>
      </c>
      <c r="E62" s="752">
        <v>40</v>
      </c>
      <c r="F62" s="752">
        <v>10</v>
      </c>
      <c r="G62" s="752">
        <v>30</v>
      </c>
      <c r="H62" s="1034"/>
    </row>
    <row r="63" spans="1:11">
      <c r="A63" s="753">
        <v>36</v>
      </c>
      <c r="B63" s="749" t="s">
        <v>3584</v>
      </c>
      <c r="C63" s="749" t="s">
        <v>129</v>
      </c>
      <c r="D63" s="749" t="s">
        <v>85</v>
      </c>
      <c r="E63" s="752">
        <v>22261.040000000001</v>
      </c>
      <c r="F63" s="752">
        <v>22206.93</v>
      </c>
      <c r="G63" s="752">
        <v>54.11</v>
      </c>
      <c r="H63" s="1034"/>
    </row>
    <row r="64" spans="1:11">
      <c r="A64" s="753">
        <v>37</v>
      </c>
      <c r="B64" s="749" t="s">
        <v>3546</v>
      </c>
      <c r="C64" s="749" t="s">
        <v>129</v>
      </c>
      <c r="D64" s="749" t="s">
        <v>85</v>
      </c>
      <c r="E64" s="752">
        <v>5264</v>
      </c>
      <c r="F64" s="752">
        <v>5245.09</v>
      </c>
      <c r="G64" s="752">
        <v>18.91</v>
      </c>
      <c r="H64" s="1034"/>
    </row>
    <row r="65" spans="1:8">
      <c r="A65" s="753">
        <v>38</v>
      </c>
      <c r="B65" s="749" t="s">
        <v>3322</v>
      </c>
      <c r="C65" s="749" t="s">
        <v>129</v>
      </c>
      <c r="D65" s="749" t="s">
        <v>98</v>
      </c>
      <c r="E65" s="752">
        <v>95.850000000000009</v>
      </c>
      <c r="F65" s="752">
        <v>0.85000000000000853</v>
      </c>
      <c r="G65" s="752">
        <v>95</v>
      </c>
      <c r="H65" s="1034"/>
    </row>
    <row r="66" spans="1:8">
      <c r="A66" s="753">
        <v>38</v>
      </c>
      <c r="B66" s="749" t="s">
        <v>3322</v>
      </c>
      <c r="C66" s="749" t="s">
        <v>129</v>
      </c>
      <c r="D66" s="749" t="s">
        <v>85</v>
      </c>
      <c r="E66" s="752">
        <v>13780.82</v>
      </c>
      <c r="F66" s="752">
        <v>13714.9</v>
      </c>
      <c r="G66" s="752">
        <v>65.92</v>
      </c>
      <c r="H66" s="1034"/>
    </row>
    <row r="67" spans="1:8">
      <c r="A67" s="753">
        <v>39</v>
      </c>
      <c r="B67" s="749" t="s">
        <v>3589</v>
      </c>
      <c r="C67" s="749" t="s">
        <v>129</v>
      </c>
      <c r="D67" s="749" t="s">
        <v>85</v>
      </c>
      <c r="E67" s="752">
        <v>404.61068999999998</v>
      </c>
      <c r="F67" s="752">
        <v>403.28068999999999</v>
      </c>
      <c r="G67" s="752">
        <v>1.33</v>
      </c>
      <c r="H67" s="1034"/>
    </row>
    <row r="68" spans="1:8">
      <c r="A68" s="753">
        <v>40</v>
      </c>
      <c r="B68" s="749" t="s">
        <v>3585</v>
      </c>
      <c r="C68" s="749" t="s">
        <v>129</v>
      </c>
      <c r="D68" s="749" t="s">
        <v>85</v>
      </c>
      <c r="E68" s="752">
        <v>3829</v>
      </c>
      <c r="F68" s="752">
        <v>3814.35</v>
      </c>
      <c r="G68" s="752">
        <v>14.65</v>
      </c>
      <c r="H68" s="1034"/>
    </row>
    <row r="69" spans="1:8">
      <c r="A69" s="753">
        <v>41</v>
      </c>
      <c r="B69" s="749" t="s">
        <v>3350</v>
      </c>
      <c r="C69" s="749" t="s">
        <v>129</v>
      </c>
      <c r="D69" s="749" t="s">
        <v>98</v>
      </c>
      <c r="E69" s="752"/>
      <c r="F69" s="752">
        <v>-40</v>
      </c>
      <c r="G69" s="752">
        <v>40</v>
      </c>
      <c r="H69" s="1034"/>
    </row>
    <row r="70" spans="1:8">
      <c r="A70" s="753">
        <v>42</v>
      </c>
      <c r="B70" s="749" t="s">
        <v>3568</v>
      </c>
      <c r="C70" s="749" t="s">
        <v>129</v>
      </c>
      <c r="D70" s="749" t="s">
        <v>85</v>
      </c>
      <c r="E70" s="752">
        <v>756</v>
      </c>
      <c r="F70" s="752">
        <v>738.41</v>
      </c>
      <c r="G70" s="752">
        <v>17.59</v>
      </c>
      <c r="H70" s="1034"/>
    </row>
    <row r="71" spans="1:8">
      <c r="A71" s="753">
        <v>43</v>
      </c>
      <c r="B71" s="749" t="s">
        <v>3558</v>
      </c>
      <c r="C71" s="749" t="s">
        <v>129</v>
      </c>
      <c r="D71" s="749" t="s">
        <v>85</v>
      </c>
      <c r="E71" s="752">
        <v>8071</v>
      </c>
      <c r="F71" s="752">
        <v>7878</v>
      </c>
      <c r="G71" s="752">
        <v>193</v>
      </c>
      <c r="H71" s="1034"/>
    </row>
    <row r="72" spans="1:8">
      <c r="A72" s="753">
        <v>44</v>
      </c>
      <c r="B72" s="749" t="s">
        <v>147</v>
      </c>
      <c r="C72" s="749" t="s">
        <v>129</v>
      </c>
      <c r="D72" s="749" t="s">
        <v>104</v>
      </c>
      <c r="E72" s="752"/>
      <c r="F72" s="752">
        <v>0</v>
      </c>
      <c r="G72" s="752">
        <v>0</v>
      </c>
      <c r="H72" s="1034"/>
    </row>
    <row r="73" spans="1:8">
      <c r="A73" s="756">
        <v>44</v>
      </c>
      <c r="B73" s="749" t="s">
        <v>147</v>
      </c>
      <c r="C73" s="749" t="s">
        <v>129</v>
      </c>
      <c r="D73" s="749" t="s">
        <v>85</v>
      </c>
      <c r="E73" s="752">
        <v>4942</v>
      </c>
      <c r="F73" s="752">
        <v>4823.72</v>
      </c>
      <c r="G73" s="752">
        <v>118.28</v>
      </c>
      <c r="H73" s="1034"/>
    </row>
    <row r="74" spans="1:8">
      <c r="A74" s="757">
        <v>45</v>
      </c>
      <c r="B74" s="758" t="s">
        <v>3571</v>
      </c>
      <c r="C74" s="758" t="s">
        <v>129</v>
      </c>
      <c r="D74" s="758" t="s">
        <v>98</v>
      </c>
      <c r="E74" s="759">
        <v>26.55</v>
      </c>
      <c r="F74" s="759">
        <v>0</v>
      </c>
      <c r="G74" s="759">
        <v>26.55</v>
      </c>
      <c r="H74" s="1034"/>
    </row>
    <row r="75" spans="1:8">
      <c r="A75" s="753">
        <v>46</v>
      </c>
      <c r="B75" s="749" t="s">
        <v>3557</v>
      </c>
      <c r="C75" s="749" t="s">
        <v>129</v>
      </c>
      <c r="D75" s="749" t="s">
        <v>98</v>
      </c>
      <c r="E75" s="752">
        <v>142</v>
      </c>
      <c r="F75" s="752">
        <v>0</v>
      </c>
      <c r="G75" s="752">
        <v>142</v>
      </c>
      <c r="H75" s="1034"/>
    </row>
    <row r="76" spans="1:8">
      <c r="A76" s="753">
        <v>46</v>
      </c>
      <c r="B76" s="749" t="s">
        <v>3557</v>
      </c>
      <c r="C76" s="749" t="s">
        <v>129</v>
      </c>
      <c r="D76" s="749" t="s">
        <v>85</v>
      </c>
      <c r="E76" s="752">
        <v>12742.98</v>
      </c>
      <c r="F76" s="752">
        <v>12462.91</v>
      </c>
      <c r="G76" s="752">
        <v>280.07</v>
      </c>
      <c r="H76" s="1034"/>
    </row>
    <row r="77" spans="1:8">
      <c r="A77" s="753">
        <v>47</v>
      </c>
      <c r="B77" s="749" t="s">
        <v>3272</v>
      </c>
      <c r="C77" s="749" t="s">
        <v>129</v>
      </c>
      <c r="D77" s="749" t="s">
        <v>101</v>
      </c>
      <c r="E77" s="752">
        <v>11</v>
      </c>
      <c r="F77" s="752">
        <v>3</v>
      </c>
      <c r="G77" s="752">
        <v>8</v>
      </c>
      <c r="H77" s="1034"/>
    </row>
    <row r="78" spans="1:8">
      <c r="A78" s="753">
        <v>47</v>
      </c>
      <c r="B78" s="749" t="s">
        <v>3272</v>
      </c>
      <c r="C78" s="749" t="s">
        <v>129</v>
      </c>
      <c r="D78" s="749" t="s">
        <v>98</v>
      </c>
      <c r="E78" s="752">
        <v>70</v>
      </c>
      <c r="F78" s="752">
        <v>66</v>
      </c>
      <c r="G78" s="752">
        <v>4</v>
      </c>
      <c r="H78" s="1034"/>
    </row>
    <row r="79" spans="1:8">
      <c r="A79" s="753">
        <v>47</v>
      </c>
      <c r="B79" s="749" t="s">
        <v>3272</v>
      </c>
      <c r="C79" s="749" t="s">
        <v>129</v>
      </c>
      <c r="D79" s="749" t="s">
        <v>85</v>
      </c>
      <c r="E79" s="752">
        <v>923.5</v>
      </c>
      <c r="F79" s="752">
        <v>890.35</v>
      </c>
      <c r="G79" s="752">
        <v>33.15</v>
      </c>
      <c r="H79" s="1034"/>
    </row>
    <row r="80" spans="1:8">
      <c r="A80" s="753">
        <v>48</v>
      </c>
      <c r="B80" s="749" t="s">
        <v>3556</v>
      </c>
      <c r="C80" s="749" t="s">
        <v>129</v>
      </c>
      <c r="D80" s="749" t="s">
        <v>104</v>
      </c>
      <c r="E80" s="752">
        <v>40</v>
      </c>
      <c r="F80" s="752">
        <v>10</v>
      </c>
      <c r="G80" s="752">
        <v>30</v>
      </c>
      <c r="H80" s="1034"/>
    </row>
    <row r="81" spans="1:8">
      <c r="A81" s="753">
        <v>48</v>
      </c>
      <c r="B81" s="749" t="s">
        <v>3556</v>
      </c>
      <c r="C81" s="749" t="s">
        <v>129</v>
      </c>
      <c r="D81" s="749" t="s">
        <v>3268</v>
      </c>
      <c r="E81" s="752">
        <v>52332</v>
      </c>
      <c r="F81" s="752">
        <v>51832</v>
      </c>
      <c r="G81" s="752">
        <v>500</v>
      </c>
      <c r="H81" s="1034"/>
    </row>
    <row r="82" spans="1:8">
      <c r="A82" s="753">
        <v>49</v>
      </c>
      <c r="B82" s="749" t="s">
        <v>3582</v>
      </c>
      <c r="C82" s="749" t="s">
        <v>129</v>
      </c>
      <c r="D82" s="749" t="s">
        <v>85</v>
      </c>
      <c r="E82" s="752">
        <v>8638</v>
      </c>
      <c r="F82" s="752">
        <v>8581.16</v>
      </c>
      <c r="G82" s="752">
        <v>56.84</v>
      </c>
      <c r="H82" s="1035"/>
    </row>
    <row r="83" spans="1:8">
      <c r="A83" s="753">
        <v>1</v>
      </c>
      <c r="B83" s="749" t="s">
        <v>3539</v>
      </c>
      <c r="C83" s="749" t="s">
        <v>134</v>
      </c>
      <c r="D83" s="749" t="s">
        <v>85</v>
      </c>
      <c r="E83" s="752">
        <v>5895</v>
      </c>
      <c r="F83" s="752">
        <v>5867.69</v>
      </c>
      <c r="G83" s="752">
        <v>27.31</v>
      </c>
      <c r="H83" s="1033">
        <v>757.22</v>
      </c>
    </row>
    <row r="84" spans="1:8">
      <c r="A84" s="753">
        <v>2</v>
      </c>
      <c r="B84" s="749" t="s">
        <v>3540</v>
      </c>
      <c r="C84" s="749" t="s">
        <v>134</v>
      </c>
      <c r="D84" s="749" t="s">
        <v>85</v>
      </c>
      <c r="E84" s="752">
        <v>1176</v>
      </c>
      <c r="F84" s="752">
        <v>1147.8499999999999</v>
      </c>
      <c r="G84" s="752">
        <v>28.15</v>
      </c>
      <c r="H84" s="1034"/>
    </row>
    <row r="85" spans="1:8">
      <c r="A85" s="753">
        <v>3</v>
      </c>
      <c r="B85" s="749" t="s">
        <v>3348</v>
      </c>
      <c r="C85" s="749" t="s">
        <v>134</v>
      </c>
      <c r="D85" s="749" t="s">
        <v>101</v>
      </c>
      <c r="E85" s="752">
        <v>1.67</v>
      </c>
      <c r="F85" s="752">
        <v>0.16999999999999993</v>
      </c>
      <c r="G85" s="752">
        <v>1.5</v>
      </c>
      <c r="H85" s="1034"/>
    </row>
    <row r="86" spans="1:8">
      <c r="A86" s="753">
        <v>3</v>
      </c>
      <c r="B86" s="749" t="s">
        <v>3348</v>
      </c>
      <c r="C86" s="749" t="s">
        <v>134</v>
      </c>
      <c r="D86" s="749" t="s">
        <v>85</v>
      </c>
      <c r="E86" s="752">
        <v>1027</v>
      </c>
      <c r="F86" s="752">
        <v>1027</v>
      </c>
      <c r="G86" s="752">
        <v>0</v>
      </c>
      <c r="H86" s="1034"/>
    </row>
    <row r="87" spans="1:8">
      <c r="A87" s="753">
        <v>4</v>
      </c>
      <c r="B87" s="749" t="s">
        <v>3544</v>
      </c>
      <c r="C87" s="749" t="s">
        <v>134</v>
      </c>
      <c r="D87" s="749" t="s">
        <v>85</v>
      </c>
      <c r="E87" s="752">
        <v>1659</v>
      </c>
      <c r="F87" s="752">
        <v>1642.79</v>
      </c>
      <c r="G87" s="752">
        <v>16.21</v>
      </c>
      <c r="H87" s="1034"/>
    </row>
    <row r="88" spans="1:8">
      <c r="A88" s="753">
        <v>5</v>
      </c>
      <c r="B88" s="749" t="s">
        <v>3186</v>
      </c>
      <c r="C88" s="749" t="s">
        <v>134</v>
      </c>
      <c r="D88" s="749" t="s">
        <v>3545</v>
      </c>
      <c r="E88" s="752">
        <v>632</v>
      </c>
      <c r="F88" s="752">
        <v>616.87</v>
      </c>
      <c r="G88" s="752">
        <v>15.13</v>
      </c>
      <c r="H88" s="1034"/>
    </row>
    <row r="89" spans="1:8">
      <c r="A89" s="753">
        <v>5</v>
      </c>
      <c r="B89" s="749" t="s">
        <v>3186</v>
      </c>
      <c r="C89" s="749" t="s">
        <v>134</v>
      </c>
      <c r="D89" s="749" t="s">
        <v>85</v>
      </c>
      <c r="E89" s="752">
        <v>1073</v>
      </c>
      <c r="F89" s="752">
        <v>1052.06</v>
      </c>
      <c r="G89" s="752">
        <v>20.94</v>
      </c>
      <c r="H89" s="1034"/>
    </row>
    <row r="90" spans="1:8">
      <c r="A90" s="753">
        <v>5</v>
      </c>
      <c r="B90" s="749" t="s">
        <v>3186</v>
      </c>
      <c r="C90" s="749" t="s">
        <v>134</v>
      </c>
      <c r="D90" s="749" t="s">
        <v>101</v>
      </c>
      <c r="E90" s="752">
        <v>4</v>
      </c>
      <c r="F90" s="752">
        <v>4</v>
      </c>
      <c r="G90" s="752">
        <v>0</v>
      </c>
      <c r="H90" s="1034"/>
    </row>
    <row r="91" spans="1:8">
      <c r="A91" s="753">
        <v>6</v>
      </c>
      <c r="B91" s="749" t="s">
        <v>1192</v>
      </c>
      <c r="C91" s="749" t="s">
        <v>134</v>
      </c>
      <c r="D91" s="749" t="s">
        <v>101</v>
      </c>
      <c r="E91" s="752">
        <v>1.1000000000000001</v>
      </c>
      <c r="F91" s="752">
        <v>0.10000000000000009</v>
      </c>
      <c r="G91" s="752">
        <v>1</v>
      </c>
      <c r="H91" s="1034"/>
    </row>
    <row r="92" spans="1:8">
      <c r="A92" s="753">
        <v>6</v>
      </c>
      <c r="B92" s="749" t="s">
        <v>1192</v>
      </c>
      <c r="C92" s="749" t="s">
        <v>134</v>
      </c>
      <c r="D92" s="749" t="s">
        <v>98</v>
      </c>
      <c r="E92" s="752">
        <v>1</v>
      </c>
      <c r="F92" s="752">
        <v>1</v>
      </c>
      <c r="G92" s="752">
        <v>0</v>
      </c>
      <c r="H92" s="1034"/>
    </row>
    <row r="93" spans="1:8">
      <c r="A93" s="753">
        <v>6</v>
      </c>
      <c r="B93" s="749" t="s">
        <v>1192</v>
      </c>
      <c r="C93" s="749" t="s">
        <v>134</v>
      </c>
      <c r="D93" s="749" t="s">
        <v>85</v>
      </c>
      <c r="E93" s="752">
        <v>11975</v>
      </c>
      <c r="F93" s="752">
        <v>11941.83</v>
      </c>
      <c r="G93" s="752">
        <v>33.17</v>
      </c>
      <c r="H93" s="1034"/>
    </row>
    <row r="94" spans="1:8">
      <c r="A94" s="753">
        <v>7</v>
      </c>
      <c r="B94" s="749" t="s">
        <v>3553</v>
      </c>
      <c r="C94" s="749" t="s">
        <v>134</v>
      </c>
      <c r="D94" s="749" t="s">
        <v>85</v>
      </c>
      <c r="E94" s="752">
        <v>5336</v>
      </c>
      <c r="F94" s="752">
        <v>5327.67</v>
      </c>
      <c r="G94" s="752">
        <v>8.33</v>
      </c>
      <c r="H94" s="1034"/>
    </row>
    <row r="95" spans="1:8">
      <c r="A95" s="753">
        <v>8</v>
      </c>
      <c r="B95" s="749" t="s">
        <v>3559</v>
      </c>
      <c r="C95" s="749" t="s">
        <v>134</v>
      </c>
      <c r="D95" s="749" t="s">
        <v>85</v>
      </c>
      <c r="E95" s="752">
        <v>10626</v>
      </c>
      <c r="F95" s="752">
        <v>10574.79</v>
      </c>
      <c r="G95" s="752">
        <v>51.21</v>
      </c>
      <c r="H95" s="1034"/>
    </row>
    <row r="96" spans="1:8">
      <c r="A96" s="753">
        <v>9</v>
      </c>
      <c r="B96" s="749" t="s">
        <v>3271</v>
      </c>
      <c r="C96" s="749" t="s">
        <v>134</v>
      </c>
      <c r="D96" s="749" t="s">
        <v>98</v>
      </c>
      <c r="E96" s="752">
        <v>9</v>
      </c>
      <c r="F96" s="752">
        <v>0</v>
      </c>
      <c r="G96" s="752">
        <v>9</v>
      </c>
      <c r="H96" s="1034"/>
    </row>
    <row r="97" spans="1:8">
      <c r="A97" s="753">
        <v>9</v>
      </c>
      <c r="B97" s="749" t="s">
        <v>3271</v>
      </c>
      <c r="C97" s="749" t="s">
        <v>134</v>
      </c>
      <c r="D97" s="749" t="s">
        <v>85</v>
      </c>
      <c r="E97" s="752">
        <v>441</v>
      </c>
      <c r="F97" s="752">
        <v>440.98</v>
      </c>
      <c r="G97" s="752">
        <v>0.02</v>
      </c>
      <c r="H97" s="1034"/>
    </row>
    <row r="98" spans="1:8">
      <c r="A98" s="753">
        <v>10</v>
      </c>
      <c r="B98" s="749" t="s">
        <v>3560</v>
      </c>
      <c r="C98" s="749" t="s">
        <v>134</v>
      </c>
      <c r="D98" s="749" t="s">
        <v>101</v>
      </c>
      <c r="E98" s="752">
        <v>0.8</v>
      </c>
      <c r="F98" s="752">
        <v>0.10000000000000009</v>
      </c>
      <c r="G98" s="752">
        <v>0.7</v>
      </c>
      <c r="H98" s="1034"/>
    </row>
    <row r="99" spans="1:8">
      <c r="A99" s="753">
        <v>10</v>
      </c>
      <c r="B99" s="749" t="s">
        <v>3560</v>
      </c>
      <c r="C99" s="749" t="s">
        <v>134</v>
      </c>
      <c r="D99" s="749" t="s">
        <v>85</v>
      </c>
      <c r="E99" s="752">
        <v>540</v>
      </c>
      <c r="F99" s="752">
        <v>533.54</v>
      </c>
      <c r="G99" s="752">
        <v>6.46</v>
      </c>
      <c r="H99" s="1034"/>
    </row>
    <row r="100" spans="1:8">
      <c r="A100" s="753">
        <v>11</v>
      </c>
      <c r="B100" s="749" t="s">
        <v>3564</v>
      </c>
      <c r="C100" s="749" t="s">
        <v>134</v>
      </c>
      <c r="D100" s="749" t="s">
        <v>101</v>
      </c>
      <c r="E100" s="752">
        <v>0.9</v>
      </c>
      <c r="F100" s="752">
        <v>9.9999999999999978E-2</v>
      </c>
      <c r="G100" s="752">
        <v>0.8</v>
      </c>
      <c r="H100" s="1034"/>
    </row>
    <row r="101" spans="1:8">
      <c r="A101" s="753">
        <v>11</v>
      </c>
      <c r="B101" s="749" t="s">
        <v>3564</v>
      </c>
      <c r="C101" s="749" t="s">
        <v>134</v>
      </c>
      <c r="D101" s="749" t="s">
        <v>85</v>
      </c>
      <c r="E101" s="752">
        <v>2553</v>
      </c>
      <c r="F101" s="752">
        <v>2525.02</v>
      </c>
      <c r="G101" s="752">
        <v>27.98</v>
      </c>
      <c r="H101" s="1034"/>
    </row>
    <row r="102" spans="1:8">
      <c r="A102" s="753">
        <v>12</v>
      </c>
      <c r="B102" s="749" t="s">
        <v>3567</v>
      </c>
      <c r="C102" s="751" t="s">
        <v>3601</v>
      </c>
      <c r="D102" s="749" t="s">
        <v>85</v>
      </c>
      <c r="E102" s="752">
        <v>1965</v>
      </c>
      <c r="F102" s="752">
        <v>1929.75</v>
      </c>
      <c r="G102" s="752">
        <v>35.25</v>
      </c>
      <c r="H102" s="1034"/>
    </row>
    <row r="103" spans="1:8">
      <c r="A103" s="753">
        <v>13</v>
      </c>
      <c r="B103" s="749" t="s">
        <v>3574</v>
      </c>
      <c r="C103" s="749" t="s">
        <v>134</v>
      </c>
      <c r="D103" s="749" t="s">
        <v>85</v>
      </c>
      <c r="E103" s="752">
        <v>44084</v>
      </c>
      <c r="F103" s="752">
        <v>43743.27</v>
      </c>
      <c r="G103" s="752">
        <v>340.73</v>
      </c>
      <c r="H103" s="1034"/>
    </row>
    <row r="104" spans="1:8">
      <c r="A104" s="753">
        <v>14</v>
      </c>
      <c r="B104" s="749" t="s">
        <v>3579</v>
      </c>
      <c r="C104" s="749" t="s">
        <v>134</v>
      </c>
      <c r="D104" s="749" t="s">
        <v>85</v>
      </c>
      <c r="E104" s="752">
        <v>3689</v>
      </c>
      <c r="F104" s="752">
        <v>3661.26</v>
      </c>
      <c r="G104" s="752">
        <v>27.74</v>
      </c>
      <c r="H104" s="1034"/>
    </row>
    <row r="105" spans="1:8">
      <c r="A105" s="753">
        <v>15</v>
      </c>
      <c r="B105" s="749" t="s">
        <v>3164</v>
      </c>
      <c r="C105" s="749" t="s">
        <v>134</v>
      </c>
      <c r="D105" s="749" t="s">
        <v>101</v>
      </c>
      <c r="E105" s="752">
        <v>4</v>
      </c>
      <c r="F105" s="752">
        <v>0.39999999999999991</v>
      </c>
      <c r="G105" s="752">
        <v>3.6</v>
      </c>
      <c r="H105" s="1034"/>
    </row>
    <row r="106" spans="1:8">
      <c r="A106" s="753">
        <v>15</v>
      </c>
      <c r="B106" s="749" t="s">
        <v>3164</v>
      </c>
      <c r="C106" s="749" t="s">
        <v>134</v>
      </c>
      <c r="D106" s="749" t="s">
        <v>98</v>
      </c>
      <c r="E106" s="752">
        <v>26</v>
      </c>
      <c r="F106" s="752">
        <v>26</v>
      </c>
      <c r="G106" s="752">
        <v>0</v>
      </c>
      <c r="H106" s="1034"/>
    </row>
    <row r="107" spans="1:8">
      <c r="A107" s="753">
        <v>15</v>
      </c>
      <c r="B107" s="749" t="s">
        <v>3164</v>
      </c>
      <c r="C107" s="749" t="s">
        <v>134</v>
      </c>
      <c r="D107" s="749" t="s">
        <v>85</v>
      </c>
      <c r="E107" s="752">
        <v>17227</v>
      </c>
      <c r="F107" s="752">
        <v>17214.919999999998</v>
      </c>
      <c r="G107" s="752">
        <v>12.08</v>
      </c>
      <c r="H107" s="1034"/>
    </row>
    <row r="108" spans="1:8">
      <c r="A108" s="753">
        <v>16</v>
      </c>
      <c r="B108" s="749" t="s">
        <v>3118</v>
      </c>
      <c r="C108" s="749" t="s">
        <v>134</v>
      </c>
      <c r="D108" s="749" t="s">
        <v>101</v>
      </c>
      <c r="E108" s="752">
        <v>3.6</v>
      </c>
      <c r="F108" s="752">
        <v>0.30000000000000027</v>
      </c>
      <c r="G108" s="752">
        <v>3.3</v>
      </c>
      <c r="H108" s="1034"/>
    </row>
    <row r="109" spans="1:8">
      <c r="A109" s="753">
        <v>16</v>
      </c>
      <c r="B109" s="749" t="s">
        <v>3118</v>
      </c>
      <c r="C109" s="749" t="s">
        <v>134</v>
      </c>
      <c r="D109" s="749" t="s">
        <v>85</v>
      </c>
      <c r="E109" s="752">
        <v>2541</v>
      </c>
      <c r="F109" s="752">
        <v>2486.0700000000002</v>
      </c>
      <c r="G109" s="752">
        <v>54.93</v>
      </c>
      <c r="H109" s="1034"/>
    </row>
    <row r="110" spans="1:8">
      <c r="A110" s="753">
        <v>17</v>
      </c>
      <c r="B110" s="749" t="s">
        <v>3586</v>
      </c>
      <c r="C110" s="749" t="s">
        <v>134</v>
      </c>
      <c r="D110" s="749" t="s">
        <v>101</v>
      </c>
      <c r="E110" s="752">
        <v>0.75</v>
      </c>
      <c r="F110" s="752">
        <v>5.0000000000000044E-2</v>
      </c>
      <c r="G110" s="752">
        <v>0.7</v>
      </c>
      <c r="H110" s="1034"/>
    </row>
    <row r="111" spans="1:8">
      <c r="A111" s="753">
        <v>17</v>
      </c>
      <c r="B111" s="749" t="s">
        <v>3586</v>
      </c>
      <c r="C111" s="749" t="s">
        <v>134</v>
      </c>
      <c r="D111" s="749" t="s">
        <v>85</v>
      </c>
      <c r="E111" s="752">
        <v>2716</v>
      </c>
      <c r="F111" s="752">
        <v>2706.79</v>
      </c>
      <c r="G111" s="752">
        <v>9.2100000000000009</v>
      </c>
      <c r="H111" s="1034"/>
    </row>
    <row r="112" spans="1:8">
      <c r="A112" s="753">
        <v>18</v>
      </c>
      <c r="B112" s="749" t="s">
        <v>3315</v>
      </c>
      <c r="C112" s="749" t="s">
        <v>134</v>
      </c>
      <c r="D112" s="749" t="s">
        <v>85</v>
      </c>
      <c r="E112" s="752">
        <v>8721.9440000000013</v>
      </c>
      <c r="F112" s="752">
        <v>8700.5740000000005</v>
      </c>
      <c r="G112" s="752">
        <v>21.37</v>
      </c>
      <c r="H112" s="1034"/>
    </row>
    <row r="113" spans="1:8">
      <c r="A113" s="753">
        <v>18</v>
      </c>
      <c r="B113" s="749" t="s">
        <v>3315</v>
      </c>
      <c r="C113" s="749" t="s">
        <v>134</v>
      </c>
      <c r="D113" s="749" t="s">
        <v>101</v>
      </c>
      <c r="E113" s="752">
        <v>0.42</v>
      </c>
      <c r="F113" s="752">
        <v>1.9999999999999962E-2</v>
      </c>
      <c r="G113" s="752">
        <v>0.4</v>
      </c>
      <c r="H113" s="1035"/>
    </row>
    <row r="114" spans="1:8">
      <c r="A114" s="753">
        <v>1</v>
      </c>
      <c r="B114" s="749" t="s">
        <v>100</v>
      </c>
      <c r="C114" s="749" t="s">
        <v>89</v>
      </c>
      <c r="D114" s="749" t="s">
        <v>101</v>
      </c>
      <c r="E114" s="752">
        <v>1</v>
      </c>
      <c r="F114" s="752">
        <v>0</v>
      </c>
      <c r="G114" s="752">
        <v>1</v>
      </c>
      <c r="H114" s="1036">
        <v>582.37</v>
      </c>
    </row>
    <row r="115" spans="1:8">
      <c r="A115" s="753">
        <v>1</v>
      </c>
      <c r="B115" s="749" t="s">
        <v>100</v>
      </c>
      <c r="C115" s="749" t="s">
        <v>89</v>
      </c>
      <c r="D115" s="749" t="s">
        <v>98</v>
      </c>
      <c r="E115" s="752">
        <v>17.850000000000001</v>
      </c>
      <c r="F115" s="752">
        <v>0.90000000000000213</v>
      </c>
      <c r="G115" s="752">
        <v>16.95</v>
      </c>
      <c r="H115" s="1036"/>
    </row>
    <row r="116" spans="1:8">
      <c r="A116" s="753">
        <v>1</v>
      </c>
      <c r="B116" s="749" t="s">
        <v>100</v>
      </c>
      <c r="C116" s="749" t="s">
        <v>89</v>
      </c>
      <c r="D116" s="749" t="s">
        <v>104</v>
      </c>
      <c r="E116" s="752">
        <v>10</v>
      </c>
      <c r="F116" s="752">
        <v>0</v>
      </c>
      <c r="G116" s="752">
        <v>10</v>
      </c>
      <c r="H116" s="1036"/>
    </row>
    <row r="117" spans="1:8">
      <c r="A117" s="753">
        <v>1</v>
      </c>
      <c r="B117" s="749" t="s">
        <v>100</v>
      </c>
      <c r="C117" s="749" t="s">
        <v>89</v>
      </c>
      <c r="D117" s="749" t="s">
        <v>105</v>
      </c>
      <c r="E117" s="752">
        <v>10</v>
      </c>
      <c r="F117" s="752">
        <v>10</v>
      </c>
      <c r="G117" s="752">
        <v>0</v>
      </c>
      <c r="H117" s="1036"/>
    </row>
    <row r="118" spans="1:8">
      <c r="A118" s="753">
        <v>1</v>
      </c>
      <c r="B118" s="749" t="s">
        <v>100</v>
      </c>
      <c r="C118" s="749" t="s">
        <v>89</v>
      </c>
      <c r="D118" s="749" t="s">
        <v>85</v>
      </c>
      <c r="E118" s="752">
        <v>4608.75</v>
      </c>
      <c r="F118" s="752">
        <v>4608.75</v>
      </c>
      <c r="G118" s="752">
        <v>0</v>
      </c>
      <c r="H118" s="1036"/>
    </row>
    <row r="119" spans="1:8">
      <c r="A119" s="753">
        <v>2</v>
      </c>
      <c r="B119" s="749" t="s">
        <v>108</v>
      </c>
      <c r="C119" s="751" t="s">
        <v>3602</v>
      </c>
      <c r="D119" s="749" t="s">
        <v>101</v>
      </c>
      <c r="E119" s="752">
        <v>2.7</v>
      </c>
      <c r="F119" s="752">
        <v>3.0000000000000249E-2</v>
      </c>
      <c r="G119" s="752">
        <v>2.67</v>
      </c>
      <c r="H119" s="1036"/>
    </row>
    <row r="120" spans="1:8">
      <c r="A120" s="753">
        <v>2</v>
      </c>
      <c r="B120" s="749" t="s">
        <v>108</v>
      </c>
      <c r="C120" s="749" t="s">
        <v>89</v>
      </c>
      <c r="D120" s="749" t="s">
        <v>85</v>
      </c>
      <c r="E120" s="752">
        <v>407.21</v>
      </c>
      <c r="F120" s="752">
        <v>397.58</v>
      </c>
      <c r="G120" s="752">
        <v>9.6300000000000008</v>
      </c>
      <c r="H120" s="1036"/>
    </row>
    <row r="121" spans="1:8">
      <c r="A121" s="753">
        <v>3</v>
      </c>
      <c r="B121" s="749" t="s">
        <v>125</v>
      </c>
      <c r="C121" s="749" t="s">
        <v>89</v>
      </c>
      <c r="D121" s="749" t="s">
        <v>85</v>
      </c>
      <c r="E121" s="752">
        <v>375.93</v>
      </c>
      <c r="F121" s="752">
        <v>374.59</v>
      </c>
      <c r="G121" s="752">
        <v>1.34</v>
      </c>
      <c r="H121" s="1036"/>
    </row>
    <row r="122" spans="1:8">
      <c r="A122" s="753">
        <v>3</v>
      </c>
      <c r="B122" s="749" t="s">
        <v>125</v>
      </c>
      <c r="C122" s="749" t="s">
        <v>89</v>
      </c>
      <c r="D122" s="749" t="s">
        <v>101</v>
      </c>
      <c r="E122" s="752">
        <v>0.47</v>
      </c>
      <c r="F122" s="752">
        <v>6.9999999999999951E-2</v>
      </c>
      <c r="G122" s="752">
        <v>0.4</v>
      </c>
      <c r="H122" s="1036"/>
    </row>
    <row r="123" spans="1:8">
      <c r="A123" s="753">
        <v>4</v>
      </c>
      <c r="B123" s="749" t="s">
        <v>106</v>
      </c>
      <c r="C123" s="749" t="s">
        <v>89</v>
      </c>
      <c r="D123" s="749" t="s">
        <v>85</v>
      </c>
      <c r="E123" s="752">
        <v>784</v>
      </c>
      <c r="F123" s="752">
        <v>780.67</v>
      </c>
      <c r="G123" s="752">
        <v>3.33</v>
      </c>
      <c r="H123" s="1036"/>
    </row>
    <row r="124" spans="1:8">
      <c r="A124" s="753">
        <v>5</v>
      </c>
      <c r="B124" s="749" t="s">
        <v>3253</v>
      </c>
      <c r="C124" s="749" t="s">
        <v>89</v>
      </c>
      <c r="D124" s="749" t="s">
        <v>101</v>
      </c>
      <c r="E124" s="752">
        <v>1.2</v>
      </c>
      <c r="F124" s="752">
        <v>9.9999999999999867E-2</v>
      </c>
      <c r="G124" s="752">
        <v>1.1000000000000001</v>
      </c>
      <c r="H124" s="1036"/>
    </row>
    <row r="125" spans="1:8">
      <c r="A125" s="753">
        <v>5</v>
      </c>
      <c r="B125" s="749" t="s">
        <v>3253</v>
      </c>
      <c r="C125" s="751" t="s">
        <v>3140</v>
      </c>
      <c r="D125" s="749" t="s">
        <v>85</v>
      </c>
      <c r="E125" s="752">
        <v>854</v>
      </c>
      <c r="F125" s="752">
        <v>849.09</v>
      </c>
      <c r="G125" s="752">
        <v>4.91</v>
      </c>
      <c r="H125" s="1036"/>
    </row>
    <row r="126" spans="1:8">
      <c r="A126" s="753">
        <v>6</v>
      </c>
      <c r="B126" s="749" t="s">
        <v>3184</v>
      </c>
      <c r="C126" s="749" t="s">
        <v>89</v>
      </c>
      <c r="D126" s="749" t="s">
        <v>105</v>
      </c>
      <c r="E126" s="752">
        <v>32.5</v>
      </c>
      <c r="F126" s="752">
        <v>0</v>
      </c>
      <c r="G126" s="752">
        <v>32.5</v>
      </c>
      <c r="H126" s="1036"/>
    </row>
    <row r="127" spans="1:8">
      <c r="A127" s="753">
        <v>6</v>
      </c>
      <c r="B127" s="749" t="s">
        <v>3184</v>
      </c>
      <c r="C127" s="749" t="s">
        <v>89</v>
      </c>
      <c r="D127" s="749" t="s">
        <v>104</v>
      </c>
      <c r="E127" s="752">
        <v>70</v>
      </c>
      <c r="F127" s="752">
        <v>40</v>
      </c>
      <c r="G127" s="752">
        <v>30</v>
      </c>
      <c r="H127" s="1036"/>
    </row>
    <row r="128" spans="1:8">
      <c r="A128" s="753">
        <v>6</v>
      </c>
      <c r="B128" s="749" t="s">
        <v>3184</v>
      </c>
      <c r="C128" s="749" t="s">
        <v>89</v>
      </c>
      <c r="D128" s="749" t="s">
        <v>101</v>
      </c>
      <c r="E128" s="752">
        <v>3</v>
      </c>
      <c r="F128" s="752">
        <v>0.20000000000000018</v>
      </c>
      <c r="G128" s="752">
        <v>2.8</v>
      </c>
      <c r="H128" s="1036"/>
    </row>
    <row r="129" spans="1:8">
      <c r="A129" s="753">
        <v>6</v>
      </c>
      <c r="B129" s="749" t="s">
        <v>3184</v>
      </c>
      <c r="C129" s="749" t="s">
        <v>89</v>
      </c>
      <c r="D129" s="749" t="s">
        <v>85</v>
      </c>
      <c r="E129" s="752">
        <v>7875</v>
      </c>
      <c r="F129" s="752">
        <v>7856.15</v>
      </c>
      <c r="G129" s="752">
        <v>18.850000000000001</v>
      </c>
      <c r="H129" s="1036"/>
    </row>
    <row r="130" spans="1:8">
      <c r="A130" s="753">
        <v>7</v>
      </c>
      <c r="B130" s="749" t="s">
        <v>3195</v>
      </c>
      <c r="C130" s="749" t="s">
        <v>89</v>
      </c>
      <c r="D130" s="749" t="s">
        <v>101</v>
      </c>
      <c r="E130" s="752">
        <v>6</v>
      </c>
      <c r="F130" s="752">
        <v>6</v>
      </c>
      <c r="G130" s="752">
        <v>0</v>
      </c>
      <c r="H130" s="1036"/>
    </row>
    <row r="131" spans="1:8">
      <c r="A131" s="753">
        <v>7</v>
      </c>
      <c r="B131" s="749" t="s">
        <v>3195</v>
      </c>
      <c r="C131" s="749" t="s">
        <v>89</v>
      </c>
      <c r="D131" s="749" t="s">
        <v>85</v>
      </c>
      <c r="E131" s="752">
        <v>7806</v>
      </c>
      <c r="F131" s="752">
        <v>7787.32</v>
      </c>
      <c r="G131" s="752">
        <v>18.68</v>
      </c>
      <c r="H131" s="1036"/>
    </row>
    <row r="132" spans="1:8">
      <c r="A132" s="753">
        <v>8</v>
      </c>
      <c r="B132" s="749" t="s">
        <v>117</v>
      </c>
      <c r="C132" s="749" t="s">
        <v>89</v>
      </c>
      <c r="D132" s="749" t="s">
        <v>85</v>
      </c>
      <c r="E132" s="752">
        <v>587.59</v>
      </c>
      <c r="F132" s="752">
        <v>573.5485000000001</v>
      </c>
      <c r="G132" s="752">
        <v>14.05</v>
      </c>
      <c r="H132" s="1036"/>
    </row>
    <row r="133" spans="1:8">
      <c r="A133" s="753">
        <v>9</v>
      </c>
      <c r="B133" s="749" t="s">
        <v>88</v>
      </c>
      <c r="C133" s="749" t="s">
        <v>89</v>
      </c>
      <c r="D133" s="749" t="s">
        <v>85</v>
      </c>
      <c r="E133" s="752">
        <v>1247.3999999999999</v>
      </c>
      <c r="F133" s="752">
        <v>1241.6699999999998</v>
      </c>
      <c r="G133" s="752">
        <v>5.73</v>
      </c>
      <c r="H133" s="1036"/>
    </row>
    <row r="134" spans="1:8">
      <c r="A134" s="753">
        <v>10</v>
      </c>
      <c r="B134" s="749" t="s">
        <v>3552</v>
      </c>
      <c r="C134" s="749" t="s">
        <v>89</v>
      </c>
      <c r="D134" s="749" t="s">
        <v>85</v>
      </c>
      <c r="E134" s="752">
        <v>1225</v>
      </c>
      <c r="F134" s="752">
        <v>1222.08</v>
      </c>
      <c r="G134" s="752">
        <v>2.92</v>
      </c>
      <c r="H134" s="1036"/>
    </row>
    <row r="135" spans="1:8">
      <c r="A135" s="753">
        <v>11</v>
      </c>
      <c r="B135" s="749" t="s">
        <v>3262</v>
      </c>
      <c r="C135" s="749" t="s">
        <v>89</v>
      </c>
      <c r="D135" s="749" t="s">
        <v>99</v>
      </c>
      <c r="E135" s="752">
        <v>9.58</v>
      </c>
      <c r="F135" s="752">
        <v>8.3999999999999631E-2</v>
      </c>
      <c r="G135" s="752">
        <v>9.5</v>
      </c>
      <c r="H135" s="1036"/>
    </row>
    <row r="136" spans="1:8">
      <c r="A136" s="753">
        <v>11</v>
      </c>
      <c r="B136" s="749" t="s">
        <v>3262</v>
      </c>
      <c r="C136" s="749" t="s">
        <v>89</v>
      </c>
      <c r="D136" s="749" t="s">
        <v>85</v>
      </c>
      <c r="E136" s="752">
        <v>1029</v>
      </c>
      <c r="F136" s="752">
        <v>1014.8</v>
      </c>
      <c r="G136" s="752">
        <v>14.2</v>
      </c>
      <c r="H136" s="1036"/>
    </row>
    <row r="137" spans="1:8">
      <c r="A137" s="753">
        <v>12</v>
      </c>
      <c r="B137" s="749" t="s">
        <v>3196</v>
      </c>
      <c r="C137" s="749" t="s">
        <v>89</v>
      </c>
      <c r="D137" s="749" t="s">
        <v>101</v>
      </c>
      <c r="E137" s="752">
        <v>1.9</v>
      </c>
      <c r="F137" s="752">
        <v>9.9999999999999867E-2</v>
      </c>
      <c r="G137" s="752">
        <v>1.8</v>
      </c>
      <c r="H137" s="1036"/>
    </row>
    <row r="138" spans="1:8">
      <c r="A138" s="753">
        <v>12</v>
      </c>
      <c r="B138" s="749" t="s">
        <v>3196</v>
      </c>
      <c r="C138" s="749" t="s">
        <v>89</v>
      </c>
      <c r="D138" s="749" t="s">
        <v>99</v>
      </c>
      <c r="E138" s="752">
        <v>17.190000000000001</v>
      </c>
      <c r="F138" s="752">
        <v>0.19000000000000128</v>
      </c>
      <c r="G138" s="752">
        <v>17</v>
      </c>
      <c r="H138" s="1036"/>
    </row>
    <row r="139" spans="1:8">
      <c r="A139" s="753">
        <v>12</v>
      </c>
      <c r="B139" s="749" t="s">
        <v>3196</v>
      </c>
      <c r="C139" s="749" t="s">
        <v>89</v>
      </c>
      <c r="D139" s="749" t="s">
        <v>85</v>
      </c>
      <c r="E139" s="752">
        <v>1247</v>
      </c>
      <c r="F139" s="752">
        <v>1237.05</v>
      </c>
      <c r="G139" s="752">
        <v>9.9499999999999993</v>
      </c>
      <c r="H139" s="1036"/>
    </row>
    <row r="140" spans="1:8">
      <c r="A140" s="753">
        <v>13</v>
      </c>
      <c r="B140" s="749" t="s">
        <v>3563</v>
      </c>
      <c r="C140" s="749" t="s">
        <v>89</v>
      </c>
      <c r="D140" s="749" t="s">
        <v>85</v>
      </c>
      <c r="E140" s="752">
        <v>1225</v>
      </c>
      <c r="F140" s="752">
        <v>1219.1400000000001</v>
      </c>
      <c r="G140" s="752">
        <v>5.86</v>
      </c>
      <c r="H140" s="1036"/>
    </row>
    <row r="141" spans="1:8">
      <c r="A141" s="753">
        <v>14</v>
      </c>
      <c r="B141" s="749" t="s">
        <v>3565</v>
      </c>
      <c r="C141" s="749" t="s">
        <v>89</v>
      </c>
      <c r="D141" s="749" t="s">
        <v>101</v>
      </c>
      <c r="E141" s="752">
        <v>1.4</v>
      </c>
      <c r="F141" s="752">
        <v>9.9999999999999867E-2</v>
      </c>
      <c r="G141" s="752">
        <v>1.3</v>
      </c>
      <c r="H141" s="1036"/>
    </row>
    <row r="142" spans="1:8">
      <c r="A142" s="753">
        <v>14</v>
      </c>
      <c r="B142" s="749" t="s">
        <v>3565</v>
      </c>
      <c r="C142" s="749" t="s">
        <v>89</v>
      </c>
      <c r="D142" s="749" t="s">
        <v>85</v>
      </c>
      <c r="E142" s="752">
        <v>25767</v>
      </c>
      <c r="F142" s="752">
        <v>25705.33</v>
      </c>
      <c r="G142" s="752">
        <v>61.67</v>
      </c>
      <c r="H142" s="1036"/>
    </row>
    <row r="143" spans="1:8">
      <c r="A143" s="753">
        <v>15</v>
      </c>
      <c r="B143" s="749" t="s">
        <v>3569</v>
      </c>
      <c r="C143" s="749" t="s">
        <v>89</v>
      </c>
      <c r="D143" s="749" t="s">
        <v>85</v>
      </c>
      <c r="E143" s="752">
        <v>7300</v>
      </c>
      <c r="F143" s="752">
        <v>7274.15</v>
      </c>
      <c r="G143" s="752">
        <v>25.85</v>
      </c>
      <c r="H143" s="1036"/>
    </row>
    <row r="144" spans="1:8">
      <c r="A144" s="753">
        <v>16</v>
      </c>
      <c r="B144" s="749" t="s">
        <v>3570</v>
      </c>
      <c r="C144" s="749" t="s">
        <v>89</v>
      </c>
      <c r="D144" s="749" t="s">
        <v>85</v>
      </c>
      <c r="E144" s="752">
        <v>390</v>
      </c>
      <c r="F144" s="752">
        <v>385.02</v>
      </c>
      <c r="G144" s="752">
        <v>4.9800000000000004</v>
      </c>
      <c r="H144" s="1036"/>
    </row>
    <row r="145" spans="1:8">
      <c r="A145" s="753">
        <v>17</v>
      </c>
      <c r="B145" s="749" t="s">
        <v>122</v>
      </c>
      <c r="C145" s="749" t="s">
        <v>89</v>
      </c>
      <c r="D145" s="749" t="s">
        <v>85</v>
      </c>
      <c r="E145" s="752">
        <v>3941.4900000000002</v>
      </c>
      <c r="F145" s="752">
        <v>3932.0600000000004</v>
      </c>
      <c r="G145" s="752">
        <v>9.43</v>
      </c>
      <c r="H145" s="1036"/>
    </row>
    <row r="146" spans="1:8">
      <c r="A146" s="753">
        <v>18</v>
      </c>
      <c r="B146" s="749" t="s">
        <v>110</v>
      </c>
      <c r="C146" s="749" t="s">
        <v>89</v>
      </c>
      <c r="D146" s="749" t="s">
        <v>85</v>
      </c>
      <c r="E146" s="752">
        <v>5829.4</v>
      </c>
      <c r="F146" s="752">
        <v>5801.52</v>
      </c>
      <c r="G146" s="752">
        <v>27.88</v>
      </c>
      <c r="H146" s="1036"/>
    </row>
    <row r="147" spans="1:8">
      <c r="A147" s="753">
        <v>19</v>
      </c>
      <c r="B147" s="749" t="s">
        <v>3573</v>
      </c>
      <c r="C147" s="749" t="s">
        <v>89</v>
      </c>
      <c r="D147" s="749" t="s">
        <v>101</v>
      </c>
      <c r="E147" s="752">
        <v>4.3</v>
      </c>
      <c r="F147" s="752">
        <v>2.9</v>
      </c>
      <c r="G147" s="752">
        <v>1.4</v>
      </c>
      <c r="H147" s="1036"/>
    </row>
    <row r="148" spans="1:8">
      <c r="A148" s="753">
        <v>19</v>
      </c>
      <c r="B148" s="749" t="s">
        <v>3573</v>
      </c>
      <c r="C148" s="749" t="s">
        <v>89</v>
      </c>
      <c r="D148" s="749" t="s">
        <v>85</v>
      </c>
      <c r="E148" s="752">
        <v>1035</v>
      </c>
      <c r="F148" s="752">
        <v>1015.73</v>
      </c>
      <c r="G148" s="752">
        <v>19.27</v>
      </c>
      <c r="H148" s="1036"/>
    </row>
    <row r="149" spans="1:8">
      <c r="A149" s="753">
        <v>20</v>
      </c>
      <c r="B149" s="749" t="s">
        <v>3576</v>
      </c>
      <c r="C149" s="749" t="s">
        <v>89</v>
      </c>
      <c r="D149" s="749" t="s">
        <v>85</v>
      </c>
      <c r="E149" s="752">
        <v>16002</v>
      </c>
      <c r="F149" s="752">
        <v>15963.71</v>
      </c>
      <c r="G149" s="752">
        <v>38.29</v>
      </c>
      <c r="H149" s="1036"/>
    </row>
    <row r="150" spans="1:8">
      <c r="A150" s="753">
        <v>21</v>
      </c>
      <c r="B150" s="749" t="s">
        <v>112</v>
      </c>
      <c r="C150" s="749" t="s">
        <v>89</v>
      </c>
      <c r="D150" s="749" t="s">
        <v>85</v>
      </c>
      <c r="E150" s="752">
        <v>6580</v>
      </c>
      <c r="F150" s="752">
        <v>6556.38</v>
      </c>
      <c r="G150" s="752">
        <v>23.62</v>
      </c>
      <c r="H150" s="1036"/>
    </row>
    <row r="151" spans="1:8">
      <c r="A151" s="753">
        <v>22</v>
      </c>
      <c r="B151" s="749" t="s">
        <v>3581</v>
      </c>
      <c r="C151" s="749" t="s">
        <v>89</v>
      </c>
      <c r="D151" s="749" t="s">
        <v>85</v>
      </c>
      <c r="E151" s="752">
        <v>3122</v>
      </c>
      <c r="F151" s="752">
        <v>3098.6</v>
      </c>
      <c r="G151" s="752">
        <v>23.4</v>
      </c>
      <c r="H151" s="1036"/>
    </row>
    <row r="152" spans="1:8">
      <c r="A152" s="753">
        <v>23</v>
      </c>
      <c r="B152" s="749" t="s">
        <v>114</v>
      </c>
      <c r="C152" s="749" t="s">
        <v>89</v>
      </c>
      <c r="D152" s="749" t="s">
        <v>101</v>
      </c>
      <c r="E152" s="752">
        <v>1.68</v>
      </c>
      <c r="F152" s="752">
        <v>9.9999999999999867E-2</v>
      </c>
      <c r="G152" s="752">
        <v>1.58</v>
      </c>
      <c r="H152" s="1036"/>
    </row>
    <row r="153" spans="1:8">
      <c r="A153" s="753">
        <v>23</v>
      </c>
      <c r="B153" s="749" t="s">
        <v>114</v>
      </c>
      <c r="C153" s="749" t="s">
        <v>89</v>
      </c>
      <c r="D153" s="749" t="s">
        <v>99</v>
      </c>
      <c r="E153" s="752">
        <v>12.11</v>
      </c>
      <c r="F153" s="752">
        <v>0.10999999999999943</v>
      </c>
      <c r="G153" s="752">
        <v>12</v>
      </c>
      <c r="H153" s="1036"/>
    </row>
    <row r="154" spans="1:8">
      <c r="A154" s="753">
        <v>23</v>
      </c>
      <c r="B154" s="749" t="s">
        <v>114</v>
      </c>
      <c r="C154" s="749" t="s">
        <v>89</v>
      </c>
      <c r="D154" s="749" t="s">
        <v>85</v>
      </c>
      <c r="E154" s="752">
        <v>3551.99</v>
      </c>
      <c r="F154" s="752">
        <v>3543.49</v>
      </c>
      <c r="G154" s="752">
        <v>8.5</v>
      </c>
      <c r="H154" s="1036"/>
    </row>
    <row r="155" spans="1:8">
      <c r="A155" s="753">
        <v>24</v>
      </c>
      <c r="B155" s="749" t="s">
        <v>3587</v>
      </c>
      <c r="C155" s="749" t="s">
        <v>89</v>
      </c>
      <c r="D155" s="749" t="s">
        <v>85</v>
      </c>
      <c r="E155" s="752">
        <v>10108</v>
      </c>
      <c r="F155" s="752">
        <v>10045.83</v>
      </c>
      <c r="G155" s="752">
        <v>62.17</v>
      </c>
      <c r="H155" s="1036"/>
    </row>
    <row r="156" spans="1:8">
      <c r="A156" s="753">
        <v>25</v>
      </c>
      <c r="B156" s="749" t="s">
        <v>3590</v>
      </c>
      <c r="C156" s="749" t="s">
        <v>89</v>
      </c>
      <c r="D156" s="749" t="s">
        <v>85</v>
      </c>
      <c r="E156" s="752">
        <v>3815</v>
      </c>
      <c r="F156" s="752">
        <v>3807.31</v>
      </c>
      <c r="G156" s="752">
        <v>7.69</v>
      </c>
      <c r="H156" s="1036"/>
    </row>
    <row r="157" spans="1:8">
      <c r="A157" s="753">
        <v>26</v>
      </c>
      <c r="B157" s="749" t="s">
        <v>3265</v>
      </c>
      <c r="C157" s="749" t="s">
        <v>89</v>
      </c>
      <c r="D157" s="749" t="s">
        <v>101</v>
      </c>
      <c r="E157" s="752">
        <v>1.6</v>
      </c>
      <c r="F157" s="752">
        <v>0</v>
      </c>
      <c r="G157" s="752">
        <v>1.6</v>
      </c>
      <c r="H157" s="1036"/>
    </row>
    <row r="158" spans="1:8">
      <c r="A158" s="753">
        <v>27</v>
      </c>
      <c r="B158" s="749" t="s">
        <v>176</v>
      </c>
      <c r="C158" s="749" t="s">
        <v>89</v>
      </c>
      <c r="D158" s="749" t="s">
        <v>3268</v>
      </c>
      <c r="E158" s="752">
        <v>480</v>
      </c>
      <c r="F158" s="752">
        <v>471.62</v>
      </c>
      <c r="G158" s="752">
        <v>8.3800000000000008</v>
      </c>
      <c r="H158" s="1036"/>
    </row>
    <row r="159" spans="1:8">
      <c r="A159" s="753">
        <v>28</v>
      </c>
      <c r="B159" s="749" t="s">
        <v>178</v>
      </c>
      <c r="C159" s="749" t="s">
        <v>89</v>
      </c>
      <c r="D159" s="749" t="s">
        <v>3268</v>
      </c>
      <c r="E159" s="752">
        <v>342</v>
      </c>
      <c r="F159" s="752">
        <v>333.81</v>
      </c>
      <c r="G159" s="752">
        <v>8.19</v>
      </c>
      <c r="H159" s="1036"/>
    </row>
    <row r="160" spans="1:8">
      <c r="A160" s="753">
        <v>1</v>
      </c>
      <c r="B160" s="749" t="s">
        <v>3530</v>
      </c>
      <c r="C160" s="749" t="s">
        <v>73</v>
      </c>
      <c r="D160" s="749" t="s">
        <v>85</v>
      </c>
      <c r="E160" s="752">
        <v>471</v>
      </c>
      <c r="F160" s="752">
        <v>459.73</v>
      </c>
      <c r="G160" s="752">
        <v>11.27</v>
      </c>
      <c r="H160" s="1033">
        <v>881.13</v>
      </c>
    </row>
    <row r="161" spans="1:8">
      <c r="A161" s="753">
        <v>2</v>
      </c>
      <c r="B161" s="749" t="s">
        <v>72</v>
      </c>
      <c r="C161" s="749" t="s">
        <v>73</v>
      </c>
      <c r="D161" s="749" t="s">
        <v>101</v>
      </c>
      <c r="E161" s="752">
        <v>8</v>
      </c>
      <c r="F161" s="752">
        <v>0.5</v>
      </c>
      <c r="G161" s="752">
        <v>7.5</v>
      </c>
      <c r="H161" s="1034"/>
    </row>
    <row r="162" spans="1:8">
      <c r="A162" s="753">
        <v>2</v>
      </c>
      <c r="B162" s="749" t="s">
        <v>72</v>
      </c>
      <c r="C162" s="749" t="s">
        <v>73</v>
      </c>
      <c r="D162" s="749" t="s">
        <v>85</v>
      </c>
      <c r="E162" s="752">
        <v>2814</v>
      </c>
      <c r="F162" s="752">
        <v>2803.9</v>
      </c>
      <c r="G162" s="752">
        <v>10.1</v>
      </c>
      <c r="H162" s="1034"/>
    </row>
    <row r="163" spans="1:8">
      <c r="A163" s="753">
        <v>3</v>
      </c>
      <c r="B163" s="749" t="s">
        <v>3591</v>
      </c>
      <c r="C163" s="749" t="s">
        <v>73</v>
      </c>
      <c r="D163" s="749" t="s">
        <v>3268</v>
      </c>
      <c r="E163" s="752">
        <v>5423</v>
      </c>
      <c r="F163" s="752">
        <v>5304.05</v>
      </c>
      <c r="G163" s="752">
        <v>118.95</v>
      </c>
      <c r="H163" s="1034"/>
    </row>
    <row r="164" spans="1:8">
      <c r="A164" s="753">
        <v>4</v>
      </c>
      <c r="B164" s="749" t="s">
        <v>3555</v>
      </c>
      <c r="C164" s="749" t="s">
        <v>73</v>
      </c>
      <c r="D164" s="749" t="s">
        <v>85</v>
      </c>
      <c r="E164" s="752">
        <v>42672</v>
      </c>
      <c r="F164" s="752">
        <v>42513.68</v>
      </c>
      <c r="G164" s="752">
        <v>158.32</v>
      </c>
      <c r="H164" s="1034"/>
    </row>
    <row r="165" spans="1:8">
      <c r="A165" s="753">
        <v>5</v>
      </c>
      <c r="B165" s="749" t="s">
        <v>154</v>
      </c>
      <c r="C165" s="749" t="s">
        <v>73</v>
      </c>
      <c r="D165" s="749" t="s">
        <v>101</v>
      </c>
      <c r="E165" s="752">
        <v>12</v>
      </c>
      <c r="F165" s="752">
        <v>3.5</v>
      </c>
      <c r="G165" s="752">
        <v>8.5</v>
      </c>
      <c r="H165" s="1034"/>
    </row>
    <row r="166" spans="1:8">
      <c r="A166" s="753">
        <v>5</v>
      </c>
      <c r="B166" s="749" t="s">
        <v>154</v>
      </c>
      <c r="C166" s="749" t="s">
        <v>73</v>
      </c>
      <c r="D166" s="749" t="s">
        <v>104</v>
      </c>
      <c r="E166" s="752">
        <v>1.4</v>
      </c>
      <c r="F166" s="752">
        <v>0</v>
      </c>
      <c r="G166" s="752">
        <v>1.4</v>
      </c>
      <c r="H166" s="1034"/>
    </row>
    <row r="167" spans="1:8">
      <c r="A167" s="753">
        <v>5</v>
      </c>
      <c r="B167" s="749" t="s">
        <v>154</v>
      </c>
      <c r="C167" s="749" t="s">
        <v>73</v>
      </c>
      <c r="D167" s="749" t="s">
        <v>105</v>
      </c>
      <c r="E167" s="752">
        <v>40</v>
      </c>
      <c r="F167" s="752">
        <v>10</v>
      </c>
      <c r="G167" s="752">
        <v>30</v>
      </c>
      <c r="H167" s="1034"/>
    </row>
    <row r="168" spans="1:8">
      <c r="A168" s="753">
        <v>5</v>
      </c>
      <c r="B168" s="749" t="s">
        <v>154</v>
      </c>
      <c r="C168" s="751" t="s">
        <v>3603</v>
      </c>
      <c r="D168" s="749" t="s">
        <v>85</v>
      </c>
      <c r="E168" s="752">
        <v>1531</v>
      </c>
      <c r="F168" s="752">
        <v>1506.3</v>
      </c>
      <c r="G168" s="752">
        <v>24.7</v>
      </c>
      <c r="H168" s="1034"/>
    </row>
    <row r="169" spans="1:8">
      <c r="A169" s="753">
        <v>5</v>
      </c>
      <c r="B169" s="749" t="s">
        <v>154</v>
      </c>
      <c r="C169" s="751" t="s">
        <v>3151</v>
      </c>
      <c r="D169" s="749" t="s">
        <v>98</v>
      </c>
      <c r="E169" s="752">
        <v>101</v>
      </c>
      <c r="F169" s="752">
        <v>90.61</v>
      </c>
      <c r="G169" s="752">
        <v>10.39</v>
      </c>
      <c r="H169" s="1034"/>
    </row>
    <row r="170" spans="1:8">
      <c r="A170" s="753">
        <v>6</v>
      </c>
      <c r="B170" s="749" t="s">
        <v>3301</v>
      </c>
      <c r="C170" s="749" t="s">
        <v>73</v>
      </c>
      <c r="D170" s="749" t="s">
        <v>3268</v>
      </c>
      <c r="E170" s="752">
        <v>118314</v>
      </c>
      <c r="F170" s="752">
        <v>117814</v>
      </c>
      <c r="G170" s="752">
        <v>500</v>
      </c>
      <c r="H170" s="1035"/>
    </row>
    <row r="171" spans="1:8">
      <c r="A171" s="753">
        <v>1</v>
      </c>
      <c r="B171" s="749" t="s">
        <v>3533</v>
      </c>
      <c r="C171" s="749" t="s">
        <v>3205</v>
      </c>
      <c r="D171" s="749" t="s">
        <v>85</v>
      </c>
      <c r="E171" s="752">
        <v>375.28</v>
      </c>
      <c r="F171" s="752">
        <v>371.09</v>
      </c>
      <c r="G171" s="752">
        <v>4.1900000000000004</v>
      </c>
      <c r="H171" s="1033">
        <v>154.27000000000001</v>
      </c>
    </row>
    <row r="172" spans="1:8">
      <c r="A172" s="753">
        <v>2</v>
      </c>
      <c r="B172" s="749" t="s">
        <v>3534</v>
      </c>
      <c r="C172" s="751" t="s">
        <v>3604</v>
      </c>
      <c r="D172" s="749" t="s">
        <v>101</v>
      </c>
      <c r="E172" s="752">
        <v>38.200000000000003</v>
      </c>
      <c r="F172" s="752">
        <v>0.90000000000000568</v>
      </c>
      <c r="G172" s="752">
        <v>37.299999999999997</v>
      </c>
      <c r="H172" s="1034"/>
    </row>
    <row r="173" spans="1:8">
      <c r="A173" s="753">
        <v>3</v>
      </c>
      <c r="B173" s="749" t="s">
        <v>3536</v>
      </c>
      <c r="C173" s="751" t="s">
        <v>3433</v>
      </c>
      <c r="D173" s="749" t="s">
        <v>98</v>
      </c>
      <c r="E173" s="752">
        <v>92.5</v>
      </c>
      <c r="F173" s="752">
        <v>9.25</v>
      </c>
      <c r="G173" s="752">
        <v>83.25</v>
      </c>
      <c r="H173" s="1034"/>
    </row>
    <row r="174" spans="1:8">
      <c r="A174" s="753">
        <v>3</v>
      </c>
      <c r="B174" s="749" t="s">
        <v>3536</v>
      </c>
      <c r="C174" s="749" t="s">
        <v>3205</v>
      </c>
      <c r="D174" s="749" t="s">
        <v>3268</v>
      </c>
      <c r="E174" s="752">
        <v>358</v>
      </c>
      <c r="F174" s="752">
        <v>349.53</v>
      </c>
      <c r="G174" s="752">
        <v>8.4700000000000006</v>
      </c>
      <c r="H174" s="1034"/>
    </row>
    <row r="175" spans="1:8">
      <c r="A175" s="753">
        <v>4</v>
      </c>
      <c r="B175" s="749" t="s">
        <v>3233</v>
      </c>
      <c r="C175" s="749" t="s">
        <v>3205</v>
      </c>
      <c r="D175" s="749" t="s">
        <v>3268</v>
      </c>
      <c r="E175" s="752">
        <v>880</v>
      </c>
      <c r="F175" s="752">
        <v>858.94</v>
      </c>
      <c r="G175" s="752">
        <v>21.06</v>
      </c>
      <c r="H175" s="1035"/>
    </row>
    <row r="176" spans="1:8">
      <c r="A176" s="753">
        <v>1</v>
      </c>
      <c r="B176" s="749" t="s">
        <v>83</v>
      </c>
      <c r="C176" s="751" t="s">
        <v>3597</v>
      </c>
      <c r="D176" s="749" t="s">
        <v>101</v>
      </c>
      <c r="E176" s="752">
        <v>0.6</v>
      </c>
      <c r="F176" s="752">
        <v>0</v>
      </c>
      <c r="G176" s="752">
        <v>0.6</v>
      </c>
      <c r="H176" s="1033">
        <v>49.58</v>
      </c>
    </row>
    <row r="177" spans="1:8">
      <c r="A177" s="753">
        <v>1</v>
      </c>
      <c r="B177" s="749" t="s">
        <v>83</v>
      </c>
      <c r="C177" s="749" t="s">
        <v>84</v>
      </c>
      <c r="D177" s="749" t="s">
        <v>98</v>
      </c>
      <c r="E177" s="752">
        <v>16.8</v>
      </c>
      <c r="F177" s="752">
        <v>2.8000000000000007</v>
      </c>
      <c r="G177" s="752">
        <v>14</v>
      </c>
      <c r="H177" s="1034"/>
    </row>
    <row r="178" spans="1:8">
      <c r="A178" s="753">
        <v>1</v>
      </c>
      <c r="B178" s="749" t="s">
        <v>83</v>
      </c>
      <c r="C178" s="749" t="s">
        <v>84</v>
      </c>
      <c r="D178" s="749" t="s">
        <v>85</v>
      </c>
      <c r="E178" s="752">
        <v>7712</v>
      </c>
      <c r="F178" s="752">
        <v>7677.02</v>
      </c>
      <c r="G178" s="752">
        <v>34.979999999999997</v>
      </c>
      <c r="H178" s="1035"/>
    </row>
    <row r="179" spans="1:8">
      <c r="A179" s="753">
        <v>1</v>
      </c>
      <c r="B179" s="749" t="s">
        <v>173</v>
      </c>
      <c r="C179" s="749" t="s">
        <v>172</v>
      </c>
      <c r="D179" s="749" t="s">
        <v>3268</v>
      </c>
      <c r="E179" s="752">
        <v>703</v>
      </c>
      <c r="F179" s="752">
        <v>686.25</v>
      </c>
      <c r="G179" s="752">
        <v>16.75</v>
      </c>
      <c r="H179" s="755">
        <v>16.75</v>
      </c>
    </row>
    <row r="180" spans="1:8">
      <c r="A180" s="753">
        <v>1</v>
      </c>
      <c r="B180" s="749" t="s">
        <v>3543</v>
      </c>
      <c r="C180" s="749" t="s">
        <v>3596</v>
      </c>
      <c r="D180" s="749" t="s">
        <v>85</v>
      </c>
      <c r="E180" s="752">
        <v>5110</v>
      </c>
      <c r="F180" s="752">
        <v>5097.7700000000004</v>
      </c>
      <c r="G180" s="752">
        <v>12.23</v>
      </c>
      <c r="H180" s="755">
        <v>12.23</v>
      </c>
    </row>
    <row r="181" spans="1:8">
      <c r="A181" s="1030" t="s">
        <v>3599</v>
      </c>
      <c r="B181" s="1031"/>
      <c r="C181" s="1031"/>
      <c r="D181" s="1032"/>
      <c r="E181" s="755">
        <f>SUM(E2:E180)</f>
        <v>645968.40269000002</v>
      </c>
      <c r="F181" s="755">
        <f>SUM(F2:F180)</f>
        <v>640080.4212900002</v>
      </c>
      <c r="G181" s="755">
        <f>SUM(G2:G180)</f>
        <v>5888.0000000000009</v>
      </c>
      <c r="H181" s="755">
        <f>SUM(H2:H180)</f>
        <v>5888</v>
      </c>
    </row>
  </sheetData>
  <autoFilter ref="A1:H181"/>
  <mergeCells count="7">
    <mergeCell ref="A181:D181"/>
    <mergeCell ref="H2:H82"/>
    <mergeCell ref="H83:H113"/>
    <mergeCell ref="H114:H159"/>
    <mergeCell ref="H160:H170"/>
    <mergeCell ref="H171:H175"/>
    <mergeCell ref="H176:H178"/>
  </mergeCells>
  <phoneticPr fontId="92" type="noConversion"/>
  <pageMargins left="0.7" right="0.7" top="0.75" bottom="0.75" header="0.3" footer="0.3"/>
  <pageSetup paperSize="9"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2:G182"/>
  <sheetViews>
    <sheetView workbookViewId="0">
      <selection activeCell="A2" sqref="A2:F88"/>
    </sheetView>
  </sheetViews>
  <sheetFormatPr defaultRowHeight="13.5"/>
  <cols>
    <col min="2" max="2" width="20.375" customWidth="1"/>
    <col min="4" max="4" width="34.5" customWidth="1"/>
    <col min="5" max="5" width="18" customWidth="1"/>
    <col min="6" max="6" width="18.25" customWidth="1"/>
  </cols>
  <sheetData>
    <row r="2" spans="1:7">
      <c r="A2" s="761" t="s">
        <v>3608</v>
      </c>
      <c r="B2" s="761" t="s">
        <v>3609</v>
      </c>
      <c r="C2" s="761" t="s">
        <v>18</v>
      </c>
      <c r="D2" s="761" t="s">
        <v>3595</v>
      </c>
      <c r="E2" s="761" t="s">
        <v>3606</v>
      </c>
      <c r="F2" s="761" t="s">
        <v>3605</v>
      </c>
      <c r="G2" t="s">
        <v>3607</v>
      </c>
    </row>
    <row r="3" spans="1:7">
      <c r="A3" s="762">
        <v>27</v>
      </c>
      <c r="B3" s="758" t="s">
        <v>3543</v>
      </c>
      <c r="C3" s="760" t="s">
        <v>3610</v>
      </c>
      <c r="D3" s="758" t="s">
        <v>85</v>
      </c>
      <c r="E3" s="759">
        <v>5110</v>
      </c>
      <c r="F3" s="759">
        <v>12.32</v>
      </c>
    </row>
    <row r="4" spans="1:7" hidden="1">
      <c r="A4" s="762">
        <v>2</v>
      </c>
      <c r="B4" s="758" t="s">
        <v>3531</v>
      </c>
      <c r="C4" s="758" t="s">
        <v>129</v>
      </c>
      <c r="D4" s="758" t="s">
        <v>104</v>
      </c>
      <c r="E4" s="759">
        <v>10</v>
      </c>
      <c r="F4" s="759">
        <v>0</v>
      </c>
    </row>
    <row r="5" spans="1:7" hidden="1">
      <c r="A5" s="762">
        <v>2</v>
      </c>
      <c r="B5" s="758" t="s">
        <v>3531</v>
      </c>
      <c r="C5" s="758" t="s">
        <v>129</v>
      </c>
      <c r="D5" s="758" t="s">
        <v>98</v>
      </c>
      <c r="E5" s="759">
        <v>0.45</v>
      </c>
      <c r="F5" s="759">
        <v>0.45</v>
      </c>
    </row>
    <row r="6" spans="1:7" hidden="1">
      <c r="A6" s="762">
        <v>2</v>
      </c>
      <c r="B6" s="758" t="s">
        <v>3531</v>
      </c>
      <c r="C6" s="758" t="s">
        <v>129</v>
      </c>
      <c r="D6" s="758" t="s">
        <v>99</v>
      </c>
      <c r="E6" s="759">
        <v>0.6</v>
      </c>
      <c r="F6" s="759">
        <v>0</v>
      </c>
    </row>
    <row r="7" spans="1:7" hidden="1">
      <c r="A7" s="762">
        <v>2</v>
      </c>
      <c r="B7" s="758" t="s">
        <v>3531</v>
      </c>
      <c r="C7" s="758" t="s">
        <v>129</v>
      </c>
      <c r="D7" s="758" t="s">
        <v>85</v>
      </c>
      <c r="E7" s="759">
        <v>357.87</v>
      </c>
      <c r="F7" s="759">
        <v>8.61</v>
      </c>
    </row>
    <row r="8" spans="1:7" hidden="1">
      <c r="A8" s="762">
        <v>3</v>
      </c>
      <c r="B8" s="758" t="s">
        <v>3532</v>
      </c>
      <c r="C8" s="758" t="s">
        <v>129</v>
      </c>
      <c r="D8" s="758" t="s">
        <v>101</v>
      </c>
      <c r="E8" s="759">
        <v>1.1000000000000001</v>
      </c>
      <c r="F8" s="759">
        <v>1</v>
      </c>
    </row>
    <row r="9" spans="1:7" hidden="1">
      <c r="A9" s="762">
        <v>3</v>
      </c>
      <c r="B9" s="758" t="s">
        <v>3532</v>
      </c>
      <c r="C9" s="758" t="s">
        <v>129</v>
      </c>
      <c r="D9" s="758" t="s">
        <v>99</v>
      </c>
      <c r="E9" s="759">
        <v>8</v>
      </c>
      <c r="F9" s="759">
        <v>8</v>
      </c>
    </row>
    <row r="10" spans="1:7" hidden="1">
      <c r="A10" s="762">
        <v>3</v>
      </c>
      <c r="B10" s="758" t="s">
        <v>3532</v>
      </c>
      <c r="C10" s="758" t="s">
        <v>129</v>
      </c>
      <c r="D10" s="758" t="s">
        <v>85</v>
      </c>
      <c r="E10" s="759">
        <v>2937</v>
      </c>
      <c r="F10" s="759">
        <v>10.51</v>
      </c>
    </row>
    <row r="11" spans="1:7" hidden="1">
      <c r="A11" s="762">
        <v>8</v>
      </c>
      <c r="B11" s="758" t="s">
        <v>3535</v>
      </c>
      <c r="C11" s="758" t="s">
        <v>129</v>
      </c>
      <c r="D11" s="758" t="s">
        <v>85</v>
      </c>
      <c r="E11" s="759">
        <v>3318</v>
      </c>
      <c r="F11" s="759">
        <v>11.62</v>
      </c>
    </row>
    <row r="12" spans="1:7" hidden="1">
      <c r="A12" s="762">
        <v>12</v>
      </c>
      <c r="B12" s="758" t="s">
        <v>3537</v>
      </c>
      <c r="C12" s="758" t="s">
        <v>129</v>
      </c>
      <c r="D12" s="758" t="s">
        <v>85</v>
      </c>
      <c r="E12" s="759">
        <v>703</v>
      </c>
      <c r="F12" s="759">
        <v>16.96</v>
      </c>
    </row>
    <row r="13" spans="1:7" hidden="1">
      <c r="A13" s="762">
        <v>14</v>
      </c>
      <c r="B13" s="758" t="s">
        <v>3538</v>
      </c>
      <c r="C13" s="758" t="s">
        <v>129</v>
      </c>
      <c r="D13" s="758" t="s">
        <v>85</v>
      </c>
      <c r="E13" s="759">
        <v>5313</v>
      </c>
      <c r="F13" s="759">
        <v>19.2</v>
      </c>
    </row>
    <row r="14" spans="1:7" hidden="1">
      <c r="A14" s="762">
        <v>17</v>
      </c>
      <c r="B14" s="758" t="s">
        <v>3541</v>
      </c>
      <c r="C14" s="758" t="s">
        <v>129</v>
      </c>
      <c r="D14" s="758" t="s">
        <v>85</v>
      </c>
      <c r="E14" s="759">
        <v>2032</v>
      </c>
      <c r="F14" s="759">
        <v>44.91</v>
      </c>
    </row>
    <row r="15" spans="1:7" hidden="1">
      <c r="A15" s="762">
        <v>20</v>
      </c>
      <c r="B15" s="758" t="s">
        <v>132</v>
      </c>
      <c r="C15" s="758" t="s">
        <v>129</v>
      </c>
      <c r="D15" s="758" t="s">
        <v>85</v>
      </c>
      <c r="E15" s="759">
        <v>2639.5</v>
      </c>
      <c r="F15" s="759">
        <v>8.32</v>
      </c>
    </row>
    <row r="16" spans="1:7" hidden="1">
      <c r="A16" s="762">
        <v>21</v>
      </c>
      <c r="B16" s="758" t="s">
        <v>138</v>
      </c>
      <c r="C16" s="758" t="s">
        <v>129</v>
      </c>
      <c r="D16" s="758" t="s">
        <v>101</v>
      </c>
      <c r="E16" s="759">
        <v>3.31</v>
      </c>
      <c r="F16" s="759">
        <v>3</v>
      </c>
    </row>
    <row r="17" spans="1:6" hidden="1">
      <c r="A17" s="762">
        <v>21</v>
      </c>
      <c r="B17" s="758" t="s">
        <v>138</v>
      </c>
      <c r="C17" s="758" t="s">
        <v>129</v>
      </c>
      <c r="D17" s="758" t="s">
        <v>98</v>
      </c>
      <c r="E17" s="759">
        <v>4.25</v>
      </c>
      <c r="F17" s="759">
        <v>4</v>
      </c>
    </row>
    <row r="18" spans="1:6" hidden="1">
      <c r="A18" s="762">
        <v>26</v>
      </c>
      <c r="B18" s="758" t="s">
        <v>3542</v>
      </c>
      <c r="C18" s="758" t="s">
        <v>129</v>
      </c>
      <c r="D18" s="758" t="s">
        <v>85</v>
      </c>
      <c r="E18" s="759">
        <v>353.63</v>
      </c>
      <c r="F18" s="759">
        <v>1.66</v>
      </c>
    </row>
    <row r="19" spans="1:6" hidden="1">
      <c r="A19" s="762">
        <v>30</v>
      </c>
      <c r="B19" s="758" t="s">
        <v>3546</v>
      </c>
      <c r="C19" s="758" t="s">
        <v>129</v>
      </c>
      <c r="D19" s="758" t="s">
        <v>85</v>
      </c>
      <c r="E19" s="759">
        <v>5264</v>
      </c>
      <c r="F19" s="759">
        <v>19.05</v>
      </c>
    </row>
    <row r="20" spans="1:6" hidden="1">
      <c r="A20" s="762">
        <v>32</v>
      </c>
      <c r="B20" s="758" t="s">
        <v>3547</v>
      </c>
      <c r="C20" s="758" t="s">
        <v>129</v>
      </c>
      <c r="D20" s="758" t="s">
        <v>85</v>
      </c>
      <c r="E20" s="759">
        <v>1019.37</v>
      </c>
      <c r="F20" s="759">
        <v>8.09</v>
      </c>
    </row>
    <row r="21" spans="1:6" hidden="1">
      <c r="A21" s="762">
        <v>33</v>
      </c>
      <c r="B21" s="758" t="s">
        <v>3548</v>
      </c>
      <c r="C21" s="758" t="s">
        <v>129</v>
      </c>
      <c r="D21" s="758" t="s">
        <v>85</v>
      </c>
      <c r="E21" s="759">
        <v>366.6</v>
      </c>
      <c r="F21" s="759">
        <v>8.7799999999999994</v>
      </c>
    </row>
    <row r="22" spans="1:6" hidden="1">
      <c r="A22" s="762">
        <v>34</v>
      </c>
      <c r="B22" s="758" t="s">
        <v>147</v>
      </c>
      <c r="C22" s="758" t="s">
        <v>129</v>
      </c>
      <c r="D22" s="758" t="s">
        <v>104</v>
      </c>
      <c r="E22" s="759"/>
      <c r="F22" s="759">
        <v>0</v>
      </c>
    </row>
    <row r="23" spans="1:6" hidden="1">
      <c r="A23" s="762">
        <v>34</v>
      </c>
      <c r="B23" s="758" t="s">
        <v>147</v>
      </c>
      <c r="C23" s="758" t="s">
        <v>129</v>
      </c>
      <c r="D23" s="758" t="s">
        <v>85</v>
      </c>
      <c r="E23" s="759">
        <v>4942</v>
      </c>
      <c r="F23" s="759">
        <v>119.2</v>
      </c>
    </row>
    <row r="24" spans="1:6" hidden="1">
      <c r="A24" s="762">
        <v>35</v>
      </c>
      <c r="B24" s="758" t="s">
        <v>152</v>
      </c>
      <c r="C24" s="758" t="s">
        <v>129</v>
      </c>
      <c r="D24" s="758" t="s">
        <v>98</v>
      </c>
      <c r="E24" s="759">
        <v>30.6</v>
      </c>
      <c r="F24" s="759">
        <v>24.74</v>
      </c>
    </row>
    <row r="25" spans="1:6" hidden="1">
      <c r="A25" s="762">
        <v>36</v>
      </c>
      <c r="B25" s="758" t="s">
        <v>3549</v>
      </c>
      <c r="C25" s="758" t="s">
        <v>129</v>
      </c>
      <c r="D25" s="758" t="s">
        <v>85</v>
      </c>
      <c r="E25" s="759">
        <v>2412</v>
      </c>
      <c r="F25" s="759">
        <v>11.43</v>
      </c>
    </row>
    <row r="26" spans="1:6" hidden="1">
      <c r="A26" s="762">
        <v>38</v>
      </c>
      <c r="B26" s="758" t="s">
        <v>3550</v>
      </c>
      <c r="C26" s="758" t="s">
        <v>129</v>
      </c>
      <c r="D26" s="758" t="s">
        <v>85</v>
      </c>
      <c r="E26" s="759">
        <v>1074</v>
      </c>
      <c r="F26" s="759">
        <v>25.9</v>
      </c>
    </row>
    <row r="27" spans="1:6" hidden="1">
      <c r="A27" s="762">
        <v>39</v>
      </c>
      <c r="B27" s="758" t="s">
        <v>145</v>
      </c>
      <c r="C27" s="758" t="s">
        <v>129</v>
      </c>
      <c r="D27" s="758" t="s">
        <v>101</v>
      </c>
      <c r="E27" s="759">
        <v>4.9000000000000004</v>
      </c>
      <c r="F27" s="759">
        <v>4.5999999999999996</v>
      </c>
    </row>
    <row r="28" spans="1:6" hidden="1">
      <c r="A28" s="762">
        <v>42</v>
      </c>
      <c r="B28" s="758" t="s">
        <v>3551</v>
      </c>
      <c r="C28" s="758" t="s">
        <v>129</v>
      </c>
      <c r="D28" s="758" t="s">
        <v>104</v>
      </c>
      <c r="E28" s="759">
        <v>60</v>
      </c>
      <c r="F28" s="759">
        <v>60</v>
      </c>
    </row>
    <row r="29" spans="1:6" hidden="1">
      <c r="A29" s="762">
        <v>42</v>
      </c>
      <c r="B29" s="758" t="s">
        <v>3551</v>
      </c>
      <c r="C29" s="758" t="s">
        <v>129</v>
      </c>
      <c r="D29" s="758" t="s">
        <v>105</v>
      </c>
      <c r="E29" s="759">
        <v>60</v>
      </c>
      <c r="F29" s="759">
        <v>60</v>
      </c>
    </row>
    <row r="30" spans="1:6" hidden="1">
      <c r="A30" s="762">
        <v>42</v>
      </c>
      <c r="B30" s="758" t="s">
        <v>3551</v>
      </c>
      <c r="C30" s="758" t="s">
        <v>129</v>
      </c>
      <c r="D30" s="758" t="s">
        <v>85</v>
      </c>
      <c r="E30" s="759">
        <v>2302</v>
      </c>
      <c r="F30" s="759">
        <v>55.31</v>
      </c>
    </row>
    <row r="31" spans="1:6" hidden="1">
      <c r="A31" s="762">
        <v>45</v>
      </c>
      <c r="B31" s="758" t="s">
        <v>141</v>
      </c>
      <c r="C31" s="758" t="s">
        <v>129</v>
      </c>
      <c r="D31" s="758" t="s">
        <v>85</v>
      </c>
      <c r="E31" s="759">
        <v>419.57</v>
      </c>
      <c r="F31" s="759">
        <v>7.92</v>
      </c>
    </row>
    <row r="32" spans="1:6" hidden="1">
      <c r="A32" s="762">
        <v>46</v>
      </c>
      <c r="B32" s="758" t="s">
        <v>3554</v>
      </c>
      <c r="C32" s="758" t="s">
        <v>129</v>
      </c>
      <c r="D32" s="758" t="s">
        <v>105</v>
      </c>
      <c r="E32" s="759">
        <v>10</v>
      </c>
      <c r="F32" s="759">
        <v>10</v>
      </c>
    </row>
    <row r="33" spans="1:6" hidden="1">
      <c r="A33" s="762">
        <v>46</v>
      </c>
      <c r="B33" s="758" t="s">
        <v>3554</v>
      </c>
      <c r="C33" s="758" t="s">
        <v>129</v>
      </c>
      <c r="D33" s="758" t="s">
        <v>101</v>
      </c>
      <c r="E33" s="759">
        <v>10.7</v>
      </c>
      <c r="F33" s="759">
        <v>0</v>
      </c>
    </row>
    <row r="34" spans="1:6" hidden="1">
      <c r="A34" s="762">
        <v>46</v>
      </c>
      <c r="B34" s="758" t="s">
        <v>3554</v>
      </c>
      <c r="C34" s="758" t="s">
        <v>129</v>
      </c>
      <c r="D34" s="758" t="s">
        <v>85</v>
      </c>
      <c r="E34" s="759">
        <v>950.64</v>
      </c>
      <c r="F34" s="759">
        <v>22.29</v>
      </c>
    </row>
    <row r="35" spans="1:6" hidden="1">
      <c r="A35" s="762">
        <v>49</v>
      </c>
      <c r="B35" s="758" t="s">
        <v>3556</v>
      </c>
      <c r="C35" s="758" t="s">
        <v>129</v>
      </c>
      <c r="D35" s="758" t="s">
        <v>104</v>
      </c>
      <c r="E35" s="759">
        <v>40</v>
      </c>
      <c r="F35" s="759">
        <v>30</v>
      </c>
    </row>
    <row r="36" spans="1:6" hidden="1">
      <c r="A36" s="762">
        <v>49</v>
      </c>
      <c r="B36" s="758" t="s">
        <v>3556</v>
      </c>
      <c r="C36" s="758" t="s">
        <v>129</v>
      </c>
      <c r="D36" s="758" t="s">
        <v>3268</v>
      </c>
      <c r="E36" s="759">
        <v>52332</v>
      </c>
      <c r="F36" s="759">
        <v>470</v>
      </c>
    </row>
    <row r="37" spans="1:6" hidden="1">
      <c r="A37" s="762">
        <v>51</v>
      </c>
      <c r="B37" s="758" t="s">
        <v>3557</v>
      </c>
      <c r="C37" s="758" t="s">
        <v>129</v>
      </c>
      <c r="D37" s="758" t="s">
        <v>98</v>
      </c>
      <c r="E37" s="759">
        <v>142</v>
      </c>
      <c r="F37" s="759">
        <v>142</v>
      </c>
    </row>
    <row r="38" spans="1:6" hidden="1">
      <c r="A38" s="762">
        <v>51</v>
      </c>
      <c r="B38" s="758" t="s">
        <v>3557</v>
      </c>
      <c r="C38" s="758" t="s">
        <v>129</v>
      </c>
      <c r="D38" s="758" t="s">
        <v>85</v>
      </c>
      <c r="E38" s="759">
        <v>12742.98</v>
      </c>
      <c r="F38" s="759">
        <v>282.24</v>
      </c>
    </row>
    <row r="39" spans="1:6" hidden="1">
      <c r="A39" s="762">
        <v>52</v>
      </c>
      <c r="B39" s="758" t="s">
        <v>3558</v>
      </c>
      <c r="C39" s="758" t="s">
        <v>129</v>
      </c>
      <c r="D39" s="758" t="s">
        <v>85</v>
      </c>
      <c r="E39" s="759">
        <v>8071</v>
      </c>
      <c r="F39" s="759">
        <v>194.5</v>
      </c>
    </row>
    <row r="40" spans="1:6" hidden="1">
      <c r="A40" s="762">
        <v>56</v>
      </c>
      <c r="B40" s="758" t="s">
        <v>3165</v>
      </c>
      <c r="C40" s="758" t="s">
        <v>129</v>
      </c>
      <c r="D40" s="758" t="s">
        <v>101</v>
      </c>
      <c r="E40" s="759">
        <v>3.3</v>
      </c>
      <c r="F40" s="759">
        <v>3.3</v>
      </c>
    </row>
    <row r="41" spans="1:6" hidden="1">
      <c r="A41" s="762">
        <v>56</v>
      </c>
      <c r="B41" s="758" t="s">
        <v>3165</v>
      </c>
      <c r="C41" s="758" t="s">
        <v>129</v>
      </c>
      <c r="D41" s="758" t="s">
        <v>98</v>
      </c>
      <c r="E41" s="759">
        <v>22</v>
      </c>
      <c r="F41" s="759">
        <v>4.8</v>
      </c>
    </row>
    <row r="42" spans="1:6" hidden="1">
      <c r="A42" s="762">
        <v>57</v>
      </c>
      <c r="B42" s="758" t="s">
        <v>3272</v>
      </c>
      <c r="C42" s="758" t="s">
        <v>129</v>
      </c>
      <c r="D42" s="758" t="s">
        <v>101</v>
      </c>
      <c r="E42" s="759">
        <v>11</v>
      </c>
      <c r="F42" s="759">
        <v>8</v>
      </c>
    </row>
    <row r="43" spans="1:6" hidden="1">
      <c r="A43" s="762">
        <v>57</v>
      </c>
      <c r="B43" s="758" t="s">
        <v>3272</v>
      </c>
      <c r="C43" s="758" t="s">
        <v>129</v>
      </c>
      <c r="D43" s="758" t="s">
        <v>98</v>
      </c>
      <c r="E43" s="759">
        <v>70</v>
      </c>
      <c r="F43" s="759">
        <v>4</v>
      </c>
    </row>
    <row r="44" spans="1:6" hidden="1">
      <c r="A44" s="762">
        <v>57</v>
      </c>
      <c r="B44" s="758" t="s">
        <v>3272</v>
      </c>
      <c r="C44" s="758" t="s">
        <v>129</v>
      </c>
      <c r="D44" s="758" t="s">
        <v>85</v>
      </c>
      <c r="E44" s="759">
        <v>923.5</v>
      </c>
      <c r="F44" s="759">
        <v>33.409999999999997</v>
      </c>
    </row>
    <row r="45" spans="1:6" hidden="1">
      <c r="A45" s="762">
        <v>59</v>
      </c>
      <c r="B45" s="758" t="s">
        <v>3561</v>
      </c>
      <c r="C45" s="758" t="s">
        <v>129</v>
      </c>
      <c r="D45" s="758" t="s">
        <v>101</v>
      </c>
      <c r="E45" s="759">
        <v>2.6</v>
      </c>
      <c r="F45" s="759">
        <v>2.4500000000000002</v>
      </c>
    </row>
    <row r="46" spans="1:6" hidden="1">
      <c r="A46" s="762">
        <v>59</v>
      </c>
      <c r="B46" s="758" t="s">
        <v>3561</v>
      </c>
      <c r="C46" s="758" t="s">
        <v>129</v>
      </c>
      <c r="D46" s="758" t="s">
        <v>98</v>
      </c>
      <c r="E46" s="759">
        <v>8.5500000000000007</v>
      </c>
      <c r="F46" s="759">
        <v>8.5500000000000007</v>
      </c>
    </row>
    <row r="47" spans="1:6" hidden="1">
      <c r="A47" s="762">
        <v>59</v>
      </c>
      <c r="B47" s="758" t="s">
        <v>3561</v>
      </c>
      <c r="C47" s="758" t="s">
        <v>129</v>
      </c>
      <c r="D47" s="758" t="s">
        <v>85</v>
      </c>
      <c r="E47" s="759">
        <v>4203</v>
      </c>
      <c r="F47" s="759">
        <v>87.12</v>
      </c>
    </row>
    <row r="48" spans="1:6" hidden="1">
      <c r="A48" s="762">
        <v>60</v>
      </c>
      <c r="B48" s="758" t="s">
        <v>3562</v>
      </c>
      <c r="C48" s="758" t="s">
        <v>129</v>
      </c>
      <c r="D48" s="758" t="s">
        <v>101</v>
      </c>
      <c r="E48" s="759">
        <v>17.3</v>
      </c>
      <c r="F48" s="759">
        <v>1.8</v>
      </c>
    </row>
    <row r="49" spans="1:6" hidden="1">
      <c r="A49" s="762">
        <v>60</v>
      </c>
      <c r="B49" s="758" t="s">
        <v>3562</v>
      </c>
      <c r="C49" s="758" t="s">
        <v>129</v>
      </c>
      <c r="D49" s="758" t="s">
        <v>98</v>
      </c>
      <c r="E49" s="759">
        <v>2.4</v>
      </c>
      <c r="F49" s="759">
        <v>0</v>
      </c>
    </row>
    <row r="50" spans="1:6" hidden="1">
      <c r="A50" s="762">
        <v>60</v>
      </c>
      <c r="B50" s="758" t="s">
        <v>3562</v>
      </c>
      <c r="C50" s="758" t="s">
        <v>129</v>
      </c>
      <c r="D50" s="758" t="s">
        <v>85</v>
      </c>
      <c r="E50" s="759">
        <v>2976.19</v>
      </c>
      <c r="F50" s="759">
        <v>63.31</v>
      </c>
    </row>
    <row r="51" spans="1:6" hidden="1">
      <c r="A51" s="762">
        <v>64</v>
      </c>
      <c r="B51" s="758" t="s">
        <v>3566</v>
      </c>
      <c r="C51" s="758" t="s">
        <v>129</v>
      </c>
      <c r="D51" s="758" t="s">
        <v>85</v>
      </c>
      <c r="E51" s="759">
        <v>14127</v>
      </c>
      <c r="F51" s="759">
        <v>340.73</v>
      </c>
    </row>
    <row r="52" spans="1:6" hidden="1">
      <c r="A52" s="762">
        <v>66</v>
      </c>
      <c r="B52" s="758" t="s">
        <v>3349</v>
      </c>
      <c r="C52" s="758" t="s">
        <v>129</v>
      </c>
      <c r="D52" s="758" t="s">
        <v>101</v>
      </c>
      <c r="E52" s="759">
        <v>1.9</v>
      </c>
      <c r="F52" s="759">
        <v>1.79</v>
      </c>
    </row>
    <row r="53" spans="1:6" hidden="1">
      <c r="A53" s="762">
        <v>66</v>
      </c>
      <c r="B53" s="758" t="s">
        <v>3349</v>
      </c>
      <c r="C53" s="758" t="s">
        <v>129</v>
      </c>
      <c r="D53" s="758" t="s">
        <v>98</v>
      </c>
      <c r="E53" s="759">
        <v>29.25</v>
      </c>
      <c r="F53" s="759">
        <v>10.72</v>
      </c>
    </row>
    <row r="54" spans="1:6" hidden="1">
      <c r="A54" s="762">
        <v>67</v>
      </c>
      <c r="B54" s="758" t="s">
        <v>3568</v>
      </c>
      <c r="C54" s="758" t="s">
        <v>129</v>
      </c>
      <c r="D54" s="758" t="s">
        <v>85</v>
      </c>
      <c r="E54" s="759">
        <v>756</v>
      </c>
      <c r="F54" s="759">
        <v>17.73</v>
      </c>
    </row>
    <row r="55" spans="1:6" hidden="1">
      <c r="A55" s="762">
        <v>68</v>
      </c>
      <c r="B55" s="758" t="s">
        <v>3322</v>
      </c>
      <c r="C55" s="758" t="s">
        <v>129</v>
      </c>
      <c r="D55" s="758" t="s">
        <v>98</v>
      </c>
      <c r="E55" s="759">
        <v>95.850000000000009</v>
      </c>
      <c r="F55" s="759">
        <v>95</v>
      </c>
    </row>
    <row r="56" spans="1:6" hidden="1">
      <c r="A56" s="762">
        <v>68</v>
      </c>
      <c r="B56" s="758" t="s">
        <v>3322</v>
      </c>
      <c r="C56" s="758" t="s">
        <v>129</v>
      </c>
      <c r="D56" s="758" t="s">
        <v>85</v>
      </c>
      <c r="E56" s="759">
        <v>13780.82</v>
      </c>
      <c r="F56" s="759">
        <v>66.430000000000007</v>
      </c>
    </row>
    <row r="57" spans="1:6" hidden="1">
      <c r="A57" s="762">
        <v>73</v>
      </c>
      <c r="B57" s="758" t="s">
        <v>3571</v>
      </c>
      <c r="C57" s="758" t="s">
        <v>129</v>
      </c>
      <c r="D57" s="758" t="s">
        <v>98</v>
      </c>
      <c r="E57" s="759">
        <v>26.55</v>
      </c>
      <c r="F57" s="759">
        <v>26.55</v>
      </c>
    </row>
    <row r="58" spans="1:6" hidden="1">
      <c r="A58" s="762">
        <v>75</v>
      </c>
      <c r="B58" s="758" t="s">
        <v>3572</v>
      </c>
      <c r="C58" s="758" t="s">
        <v>129</v>
      </c>
      <c r="D58" s="758" t="s">
        <v>85</v>
      </c>
      <c r="E58" s="759">
        <v>4072.24</v>
      </c>
      <c r="F58" s="759">
        <v>97.75</v>
      </c>
    </row>
    <row r="59" spans="1:6" hidden="1">
      <c r="A59" s="762">
        <v>80</v>
      </c>
      <c r="B59" s="758" t="s">
        <v>3575</v>
      </c>
      <c r="C59" s="758" t="s">
        <v>129</v>
      </c>
      <c r="D59" s="758" t="s">
        <v>85</v>
      </c>
      <c r="E59" s="759">
        <v>5040</v>
      </c>
      <c r="F59" s="759">
        <v>16.64</v>
      </c>
    </row>
    <row r="60" spans="1:6" hidden="1">
      <c r="A60" s="762">
        <v>81</v>
      </c>
      <c r="B60" s="758" t="s">
        <v>136</v>
      </c>
      <c r="C60" s="758" t="s">
        <v>129</v>
      </c>
      <c r="D60" s="758" t="s">
        <v>101</v>
      </c>
      <c r="E60" s="759">
        <v>30</v>
      </c>
      <c r="F60" s="759">
        <v>8.9</v>
      </c>
    </row>
    <row r="61" spans="1:6" hidden="1">
      <c r="A61" s="762">
        <v>81</v>
      </c>
      <c r="B61" s="758" t="s">
        <v>136</v>
      </c>
      <c r="C61" s="758" t="s">
        <v>129</v>
      </c>
      <c r="D61" s="758" t="s">
        <v>98</v>
      </c>
      <c r="E61" s="759">
        <v>51</v>
      </c>
      <c r="F61" s="759">
        <v>6.7</v>
      </c>
    </row>
    <row r="62" spans="1:6" hidden="1">
      <c r="A62" s="762">
        <v>83</v>
      </c>
      <c r="B62" s="758" t="s">
        <v>3577</v>
      </c>
      <c r="C62" s="758" t="s">
        <v>129</v>
      </c>
      <c r="D62" s="758" t="s">
        <v>85</v>
      </c>
      <c r="E62" s="759">
        <v>1270</v>
      </c>
      <c r="F62" s="759">
        <v>13.13</v>
      </c>
    </row>
    <row r="63" spans="1:6" hidden="1">
      <c r="A63" s="762">
        <v>84</v>
      </c>
      <c r="B63" s="758" t="s">
        <v>3578</v>
      </c>
      <c r="C63" s="758" t="s">
        <v>129</v>
      </c>
      <c r="D63" s="758" t="s">
        <v>85</v>
      </c>
      <c r="E63" s="759">
        <v>892</v>
      </c>
      <c r="F63" s="759">
        <v>21.51</v>
      </c>
    </row>
    <row r="64" spans="1:6" hidden="1">
      <c r="A64" s="762">
        <v>87</v>
      </c>
      <c r="B64" s="758" t="s">
        <v>3580</v>
      </c>
      <c r="C64" s="758" t="s">
        <v>129</v>
      </c>
      <c r="D64" s="758" t="s">
        <v>85</v>
      </c>
      <c r="E64" s="759">
        <v>448</v>
      </c>
      <c r="F64" s="759">
        <v>10.08</v>
      </c>
    </row>
    <row r="65" spans="1:6" hidden="1">
      <c r="A65" s="762">
        <v>90</v>
      </c>
      <c r="B65" s="758" t="s">
        <v>3266</v>
      </c>
      <c r="C65" s="758" t="s">
        <v>129</v>
      </c>
      <c r="D65" s="758" t="s">
        <v>101</v>
      </c>
      <c r="E65" s="759">
        <v>4</v>
      </c>
      <c r="F65" s="759">
        <v>3.7</v>
      </c>
    </row>
    <row r="66" spans="1:6" hidden="1">
      <c r="A66" s="762">
        <v>90</v>
      </c>
      <c r="B66" s="758" t="s">
        <v>3266</v>
      </c>
      <c r="C66" s="758" t="s">
        <v>129</v>
      </c>
      <c r="D66" s="758" t="s">
        <v>104</v>
      </c>
      <c r="E66" s="759">
        <v>30</v>
      </c>
      <c r="F66" s="759">
        <v>30</v>
      </c>
    </row>
    <row r="67" spans="1:6" hidden="1">
      <c r="A67" s="762">
        <v>90</v>
      </c>
      <c r="B67" s="758" t="s">
        <v>3266</v>
      </c>
      <c r="C67" s="758" t="s">
        <v>129</v>
      </c>
      <c r="D67" s="758" t="s">
        <v>98</v>
      </c>
      <c r="E67" s="759">
        <v>22</v>
      </c>
      <c r="F67" s="759">
        <v>9.43</v>
      </c>
    </row>
    <row r="68" spans="1:6" hidden="1">
      <c r="A68" s="762">
        <v>90</v>
      </c>
      <c r="B68" s="758" t="s">
        <v>3266</v>
      </c>
      <c r="C68" s="758" t="s">
        <v>129</v>
      </c>
      <c r="D68" s="758" t="s">
        <v>105</v>
      </c>
      <c r="E68" s="759"/>
      <c r="F68" s="759">
        <v>0</v>
      </c>
    </row>
    <row r="69" spans="1:6" hidden="1">
      <c r="A69" s="762">
        <v>92</v>
      </c>
      <c r="B69" s="758" t="s">
        <v>3582</v>
      </c>
      <c r="C69" s="758" t="s">
        <v>129</v>
      </c>
      <c r="D69" s="758" t="s">
        <v>85</v>
      </c>
      <c r="E69" s="759">
        <v>8638</v>
      </c>
      <c r="F69" s="759">
        <v>57.28</v>
      </c>
    </row>
    <row r="70" spans="1:6" hidden="1">
      <c r="A70" s="762">
        <v>93</v>
      </c>
      <c r="B70" s="758" t="s">
        <v>3583</v>
      </c>
      <c r="C70" s="758" t="s">
        <v>129</v>
      </c>
      <c r="D70" s="758" t="s">
        <v>85</v>
      </c>
      <c r="E70" s="759">
        <v>2190</v>
      </c>
      <c r="F70" s="759">
        <v>14.95</v>
      </c>
    </row>
    <row r="71" spans="1:6" hidden="1">
      <c r="A71" s="762">
        <v>94</v>
      </c>
      <c r="B71" s="758" t="s">
        <v>151</v>
      </c>
      <c r="C71" s="758" t="s">
        <v>129</v>
      </c>
      <c r="D71" s="758" t="s">
        <v>85</v>
      </c>
      <c r="E71" s="759">
        <v>1923.6</v>
      </c>
      <c r="F71" s="759">
        <v>45.22</v>
      </c>
    </row>
    <row r="72" spans="1:6" hidden="1">
      <c r="A72" s="762">
        <v>95</v>
      </c>
      <c r="B72" s="758" t="s">
        <v>3126</v>
      </c>
      <c r="C72" s="758" t="s">
        <v>129</v>
      </c>
      <c r="D72" s="758" t="s">
        <v>101</v>
      </c>
      <c r="E72" s="759">
        <v>8.9</v>
      </c>
      <c r="F72" s="759">
        <v>8.4</v>
      </c>
    </row>
    <row r="73" spans="1:6" hidden="1">
      <c r="A73" s="762">
        <v>95</v>
      </c>
      <c r="B73" s="758" t="s">
        <v>3126</v>
      </c>
      <c r="C73" s="758" t="s">
        <v>129</v>
      </c>
      <c r="D73" s="758" t="s">
        <v>104</v>
      </c>
      <c r="E73" s="759">
        <v>10</v>
      </c>
      <c r="F73" s="759">
        <v>0</v>
      </c>
    </row>
    <row r="74" spans="1:6" hidden="1">
      <c r="A74" s="762">
        <v>96</v>
      </c>
      <c r="B74" s="758" t="s">
        <v>3584</v>
      </c>
      <c r="C74" s="758" t="s">
        <v>129</v>
      </c>
      <c r="D74" s="758" t="s">
        <v>101</v>
      </c>
      <c r="E74" s="759">
        <v>2.8</v>
      </c>
      <c r="F74" s="759">
        <v>2.6</v>
      </c>
    </row>
    <row r="75" spans="1:6" hidden="1">
      <c r="A75" s="762">
        <v>96</v>
      </c>
      <c r="B75" s="758" t="s">
        <v>3584</v>
      </c>
      <c r="C75" s="758" t="s">
        <v>129</v>
      </c>
      <c r="D75" s="758" t="s">
        <v>105</v>
      </c>
      <c r="E75" s="759">
        <v>40</v>
      </c>
      <c r="F75" s="759">
        <v>30</v>
      </c>
    </row>
    <row r="76" spans="1:6" hidden="1">
      <c r="A76" s="762">
        <v>96</v>
      </c>
      <c r="B76" s="758" t="s">
        <v>3584</v>
      </c>
      <c r="C76" s="758" t="s">
        <v>129</v>
      </c>
      <c r="D76" s="758" t="s">
        <v>85</v>
      </c>
      <c r="E76" s="759">
        <v>22261.040000000001</v>
      </c>
      <c r="F76" s="759">
        <v>54.53</v>
      </c>
    </row>
    <row r="77" spans="1:6" hidden="1">
      <c r="A77" s="762">
        <v>97</v>
      </c>
      <c r="B77" s="758" t="s">
        <v>3585</v>
      </c>
      <c r="C77" s="758" t="s">
        <v>129</v>
      </c>
      <c r="D77" s="758" t="s">
        <v>85</v>
      </c>
      <c r="E77" s="759">
        <v>3829</v>
      </c>
      <c r="F77" s="759">
        <v>14.76</v>
      </c>
    </row>
    <row r="78" spans="1:6" hidden="1">
      <c r="A78" s="762">
        <v>103</v>
      </c>
      <c r="B78" s="758" t="s">
        <v>3588</v>
      </c>
      <c r="C78" s="758" t="s">
        <v>129</v>
      </c>
      <c r="D78" s="758" t="s">
        <v>85</v>
      </c>
      <c r="E78" s="759">
        <v>2660.4761000000003</v>
      </c>
      <c r="F78" s="759">
        <v>61.65</v>
      </c>
    </row>
    <row r="79" spans="1:6" hidden="1">
      <c r="A79" s="762">
        <v>104</v>
      </c>
      <c r="B79" s="758" t="s">
        <v>3589</v>
      </c>
      <c r="C79" s="758" t="s">
        <v>129</v>
      </c>
      <c r="D79" s="758" t="s">
        <v>85</v>
      </c>
      <c r="E79" s="759">
        <v>404.61068999999998</v>
      </c>
      <c r="F79" s="759">
        <v>1.34</v>
      </c>
    </row>
    <row r="80" spans="1:6" hidden="1">
      <c r="A80" s="762">
        <v>54</v>
      </c>
      <c r="B80" s="758" t="s">
        <v>3350</v>
      </c>
      <c r="C80" s="758" t="s">
        <v>129</v>
      </c>
      <c r="D80" s="758" t="s">
        <v>98</v>
      </c>
      <c r="E80" s="759"/>
      <c r="F80" s="759">
        <v>40</v>
      </c>
    </row>
    <row r="81" spans="1:6" hidden="1">
      <c r="A81" s="762">
        <v>21</v>
      </c>
      <c r="B81" s="758" t="s">
        <v>138</v>
      </c>
      <c r="C81" s="758" t="s">
        <v>129</v>
      </c>
      <c r="D81" s="758" t="s">
        <v>3268</v>
      </c>
      <c r="E81" s="759">
        <v>2643</v>
      </c>
      <c r="F81" s="759">
        <v>62.13</v>
      </c>
    </row>
    <row r="82" spans="1:6" hidden="1">
      <c r="A82" s="762">
        <v>56</v>
      </c>
      <c r="B82" s="758" t="s">
        <v>3165</v>
      </c>
      <c r="C82" s="758" t="s">
        <v>129</v>
      </c>
      <c r="D82" s="758" t="s">
        <v>3268</v>
      </c>
      <c r="E82" s="759">
        <v>10740.25</v>
      </c>
      <c r="F82" s="759">
        <v>259.04000000000002</v>
      </c>
    </row>
    <row r="83" spans="1:6" hidden="1">
      <c r="A83" s="762">
        <v>66</v>
      </c>
      <c r="B83" s="758" t="s">
        <v>3349</v>
      </c>
      <c r="C83" s="758" t="s">
        <v>129</v>
      </c>
      <c r="D83" s="758" t="s">
        <v>3268</v>
      </c>
      <c r="E83" s="759">
        <v>3050</v>
      </c>
      <c r="F83" s="759">
        <v>73.489999999999995</v>
      </c>
    </row>
    <row r="84" spans="1:6" hidden="1">
      <c r="A84" s="762">
        <v>71</v>
      </c>
      <c r="B84" s="758" t="s">
        <v>3463</v>
      </c>
      <c r="C84" s="758" t="s">
        <v>129</v>
      </c>
      <c r="D84" s="758" t="s">
        <v>3268</v>
      </c>
      <c r="E84" s="759">
        <v>370</v>
      </c>
      <c r="F84" s="759">
        <v>8.92</v>
      </c>
    </row>
    <row r="85" spans="1:6">
      <c r="A85" s="762">
        <v>72</v>
      </c>
      <c r="B85" s="758" t="s">
        <v>173</v>
      </c>
      <c r="C85" s="758" t="s">
        <v>172</v>
      </c>
      <c r="D85" s="758" t="s">
        <v>3268</v>
      </c>
      <c r="E85" s="759">
        <v>703</v>
      </c>
      <c r="F85" s="759">
        <v>16.88</v>
      </c>
    </row>
    <row r="86" spans="1:6">
      <c r="A86" s="762">
        <v>41</v>
      </c>
      <c r="B86" s="758" t="s">
        <v>83</v>
      </c>
      <c r="C86" s="758" t="s">
        <v>84</v>
      </c>
      <c r="D86" s="758" t="s">
        <v>101</v>
      </c>
      <c r="E86" s="759">
        <v>0.6</v>
      </c>
      <c r="F86" s="759">
        <v>0.6</v>
      </c>
    </row>
    <row r="87" spans="1:6">
      <c r="A87" s="762">
        <v>41</v>
      </c>
      <c r="B87" s="758" t="s">
        <v>83</v>
      </c>
      <c r="C87" s="758" t="s">
        <v>84</v>
      </c>
      <c r="D87" s="758" t="s">
        <v>98</v>
      </c>
      <c r="E87" s="759">
        <v>16.8</v>
      </c>
      <c r="F87" s="759">
        <v>14</v>
      </c>
    </row>
    <row r="88" spans="1:6">
      <c r="A88" s="762">
        <v>41</v>
      </c>
      <c r="B88" s="758" t="s">
        <v>83</v>
      </c>
      <c r="C88" s="758" t="s">
        <v>84</v>
      </c>
      <c r="D88" s="758" t="s">
        <v>85</v>
      </c>
      <c r="E88" s="759">
        <v>7712</v>
      </c>
      <c r="F88" s="759">
        <v>35.25</v>
      </c>
    </row>
    <row r="89" spans="1:6" hidden="1">
      <c r="A89" s="762">
        <v>15</v>
      </c>
      <c r="B89" s="758" t="s">
        <v>3539</v>
      </c>
      <c r="C89" s="758" t="s">
        <v>134</v>
      </c>
      <c r="D89" s="758" t="s">
        <v>85</v>
      </c>
      <c r="E89" s="759">
        <v>5895</v>
      </c>
      <c r="F89" s="759">
        <v>27.52</v>
      </c>
    </row>
    <row r="90" spans="1:6" hidden="1">
      <c r="A90" s="762">
        <v>16</v>
      </c>
      <c r="B90" s="758" t="s">
        <v>3540</v>
      </c>
      <c r="C90" s="758" t="s">
        <v>134</v>
      </c>
      <c r="D90" s="758" t="s">
        <v>85</v>
      </c>
      <c r="E90" s="759">
        <v>1176</v>
      </c>
      <c r="F90" s="759">
        <v>28.36</v>
      </c>
    </row>
    <row r="91" spans="1:6" hidden="1">
      <c r="A91" s="762">
        <v>19</v>
      </c>
      <c r="B91" s="758" t="s">
        <v>3348</v>
      </c>
      <c r="C91" s="758" t="s">
        <v>134</v>
      </c>
      <c r="D91" s="758" t="s">
        <v>101</v>
      </c>
      <c r="E91" s="759">
        <v>1.67</v>
      </c>
      <c r="F91" s="759">
        <v>1.5</v>
      </c>
    </row>
    <row r="92" spans="1:6" hidden="1">
      <c r="A92" s="762">
        <v>19</v>
      </c>
      <c r="B92" s="758" t="s">
        <v>3348</v>
      </c>
      <c r="C92" s="758" t="s">
        <v>134</v>
      </c>
      <c r="D92" s="758" t="s">
        <v>85</v>
      </c>
      <c r="E92" s="759">
        <v>1027</v>
      </c>
      <c r="F92" s="759">
        <v>0</v>
      </c>
    </row>
    <row r="93" spans="1:6" hidden="1">
      <c r="A93" s="762">
        <v>28</v>
      </c>
      <c r="B93" s="758" t="s">
        <v>3544</v>
      </c>
      <c r="C93" s="758" t="s">
        <v>134</v>
      </c>
      <c r="D93" s="758" t="s">
        <v>85</v>
      </c>
      <c r="E93" s="759">
        <v>1659</v>
      </c>
      <c r="F93" s="759">
        <v>16.329999999999998</v>
      </c>
    </row>
    <row r="94" spans="1:6" hidden="1">
      <c r="A94" s="762">
        <v>29</v>
      </c>
      <c r="B94" s="758" t="s">
        <v>3186</v>
      </c>
      <c r="C94" s="758" t="s">
        <v>134</v>
      </c>
      <c r="D94" s="758" t="s">
        <v>3545</v>
      </c>
      <c r="E94" s="759">
        <v>632</v>
      </c>
      <c r="F94" s="759">
        <v>15.24</v>
      </c>
    </row>
    <row r="95" spans="1:6" hidden="1">
      <c r="A95" s="762">
        <v>29</v>
      </c>
      <c r="B95" s="758" t="s">
        <v>3186</v>
      </c>
      <c r="C95" s="758" t="s">
        <v>134</v>
      </c>
      <c r="D95" s="758" t="s">
        <v>85</v>
      </c>
      <c r="E95" s="759">
        <v>1073</v>
      </c>
      <c r="F95" s="759">
        <v>21.1</v>
      </c>
    </row>
    <row r="96" spans="1:6" hidden="1">
      <c r="A96" s="762">
        <v>29</v>
      </c>
      <c r="B96" s="758" t="s">
        <v>3186</v>
      </c>
      <c r="C96" s="758" t="s">
        <v>134</v>
      </c>
      <c r="D96" s="758" t="s">
        <v>101</v>
      </c>
      <c r="E96" s="759">
        <v>4</v>
      </c>
      <c r="F96" s="759">
        <v>0</v>
      </c>
    </row>
    <row r="97" spans="1:6" hidden="1">
      <c r="A97" s="762">
        <v>40</v>
      </c>
      <c r="B97" s="758" t="s">
        <v>1192</v>
      </c>
      <c r="C97" s="758" t="s">
        <v>134</v>
      </c>
      <c r="D97" s="758" t="s">
        <v>101</v>
      </c>
      <c r="E97" s="759">
        <v>1.1000000000000001</v>
      </c>
      <c r="F97" s="759">
        <v>1</v>
      </c>
    </row>
    <row r="98" spans="1:6" hidden="1">
      <c r="A98" s="762">
        <v>40</v>
      </c>
      <c r="B98" s="758" t="s">
        <v>1192</v>
      </c>
      <c r="C98" s="758" t="s">
        <v>134</v>
      </c>
      <c r="D98" s="758" t="s">
        <v>98</v>
      </c>
      <c r="E98" s="759">
        <v>1</v>
      </c>
      <c r="F98" s="759">
        <v>0</v>
      </c>
    </row>
    <row r="99" spans="1:6" hidden="1">
      <c r="A99" s="762">
        <v>40</v>
      </c>
      <c r="B99" s="758" t="s">
        <v>1192</v>
      </c>
      <c r="C99" s="758" t="s">
        <v>134</v>
      </c>
      <c r="D99" s="758" t="s">
        <v>85</v>
      </c>
      <c r="E99" s="759">
        <v>11975</v>
      </c>
      <c r="F99" s="759">
        <v>33.43</v>
      </c>
    </row>
    <row r="100" spans="1:6" hidden="1">
      <c r="A100" s="762">
        <v>44</v>
      </c>
      <c r="B100" s="758" t="s">
        <v>3553</v>
      </c>
      <c r="C100" s="758" t="s">
        <v>134</v>
      </c>
      <c r="D100" s="758" t="s">
        <v>85</v>
      </c>
      <c r="E100" s="759">
        <v>5336</v>
      </c>
      <c r="F100" s="759">
        <v>8.4</v>
      </c>
    </row>
    <row r="101" spans="1:6" hidden="1">
      <c r="A101" s="762">
        <v>53</v>
      </c>
      <c r="B101" s="758" t="s">
        <v>3559</v>
      </c>
      <c r="C101" s="758" t="s">
        <v>134</v>
      </c>
      <c r="D101" s="758" t="s">
        <v>85</v>
      </c>
      <c r="E101" s="759">
        <v>10626</v>
      </c>
      <c r="F101" s="759">
        <v>51.61</v>
      </c>
    </row>
    <row r="102" spans="1:6" hidden="1">
      <c r="A102" s="762">
        <v>55</v>
      </c>
      <c r="B102" s="758" t="s">
        <v>3271</v>
      </c>
      <c r="C102" s="758" t="s">
        <v>134</v>
      </c>
      <c r="D102" s="758" t="s">
        <v>98</v>
      </c>
      <c r="E102" s="759">
        <v>9</v>
      </c>
      <c r="F102" s="759">
        <v>9</v>
      </c>
    </row>
    <row r="103" spans="1:6" hidden="1">
      <c r="A103" s="762">
        <v>55</v>
      </c>
      <c r="B103" s="758" t="s">
        <v>3271</v>
      </c>
      <c r="C103" s="758" t="s">
        <v>134</v>
      </c>
      <c r="D103" s="758" t="s">
        <v>85</v>
      </c>
      <c r="E103" s="759">
        <v>441</v>
      </c>
      <c r="F103" s="759">
        <v>0.02</v>
      </c>
    </row>
    <row r="104" spans="1:6" hidden="1">
      <c r="A104" s="762">
        <v>58</v>
      </c>
      <c r="B104" s="758" t="s">
        <v>3560</v>
      </c>
      <c r="C104" s="758" t="s">
        <v>134</v>
      </c>
      <c r="D104" s="758" t="s">
        <v>101</v>
      </c>
      <c r="E104" s="759">
        <v>0.8</v>
      </c>
      <c r="F104" s="759">
        <v>0.7</v>
      </c>
    </row>
    <row r="105" spans="1:6" hidden="1">
      <c r="A105" s="762">
        <v>58</v>
      </c>
      <c r="B105" s="758" t="s">
        <v>3560</v>
      </c>
      <c r="C105" s="758" t="s">
        <v>134</v>
      </c>
      <c r="D105" s="758" t="s">
        <v>85</v>
      </c>
      <c r="E105" s="759">
        <v>540</v>
      </c>
      <c r="F105" s="759">
        <v>6.51</v>
      </c>
    </row>
    <row r="106" spans="1:6" hidden="1">
      <c r="A106" s="762">
        <v>62</v>
      </c>
      <c r="B106" s="758" t="s">
        <v>3564</v>
      </c>
      <c r="C106" s="758" t="s">
        <v>134</v>
      </c>
      <c r="D106" s="758" t="s">
        <v>101</v>
      </c>
      <c r="E106" s="759">
        <v>0.9</v>
      </c>
      <c r="F106" s="759">
        <v>0.8</v>
      </c>
    </row>
    <row r="107" spans="1:6" hidden="1">
      <c r="A107" s="762">
        <v>62</v>
      </c>
      <c r="B107" s="758" t="s">
        <v>3564</v>
      </c>
      <c r="C107" s="758" t="s">
        <v>134</v>
      </c>
      <c r="D107" s="758" t="s">
        <v>85</v>
      </c>
      <c r="E107" s="759">
        <v>2553</v>
      </c>
      <c r="F107" s="759">
        <v>28.2</v>
      </c>
    </row>
    <row r="108" spans="1:6" hidden="1">
      <c r="A108" s="762">
        <v>65</v>
      </c>
      <c r="B108" s="758" t="s">
        <v>3567</v>
      </c>
      <c r="C108" s="758" t="s">
        <v>134</v>
      </c>
      <c r="D108" s="758" t="s">
        <v>85</v>
      </c>
      <c r="E108" s="759">
        <v>1965</v>
      </c>
      <c r="F108" s="759">
        <v>35.53</v>
      </c>
    </row>
    <row r="109" spans="1:6" hidden="1">
      <c r="A109" s="762">
        <v>78</v>
      </c>
      <c r="B109" s="758" t="s">
        <v>3574</v>
      </c>
      <c r="C109" s="758" t="s">
        <v>134</v>
      </c>
      <c r="D109" s="758" t="s">
        <v>85</v>
      </c>
      <c r="E109" s="759">
        <v>44084</v>
      </c>
      <c r="F109" s="759">
        <v>343.37</v>
      </c>
    </row>
    <row r="110" spans="1:6" hidden="1">
      <c r="A110" s="762">
        <v>86</v>
      </c>
      <c r="B110" s="758" t="s">
        <v>3579</v>
      </c>
      <c r="C110" s="758" t="s">
        <v>134</v>
      </c>
      <c r="D110" s="758" t="s">
        <v>85</v>
      </c>
      <c r="E110" s="759">
        <v>3689</v>
      </c>
      <c r="F110" s="759">
        <v>27.96</v>
      </c>
    </row>
    <row r="111" spans="1:6" hidden="1">
      <c r="A111" s="762">
        <v>88</v>
      </c>
      <c r="B111" s="758" t="s">
        <v>3164</v>
      </c>
      <c r="C111" s="758" t="s">
        <v>134</v>
      </c>
      <c r="D111" s="758" t="s">
        <v>101</v>
      </c>
      <c r="E111" s="759">
        <v>4</v>
      </c>
      <c r="F111" s="759">
        <v>3.6</v>
      </c>
    </row>
    <row r="112" spans="1:6" hidden="1">
      <c r="A112" s="762">
        <v>88</v>
      </c>
      <c r="B112" s="758" t="s">
        <v>3164</v>
      </c>
      <c r="C112" s="758" t="s">
        <v>134</v>
      </c>
      <c r="D112" s="758" t="s">
        <v>98</v>
      </c>
      <c r="E112" s="759">
        <v>26</v>
      </c>
      <c r="F112" s="759">
        <v>0</v>
      </c>
    </row>
    <row r="113" spans="1:6" hidden="1">
      <c r="A113" s="762">
        <v>88</v>
      </c>
      <c r="B113" s="758" t="s">
        <v>3164</v>
      </c>
      <c r="C113" s="758" t="s">
        <v>134</v>
      </c>
      <c r="D113" s="758" t="s">
        <v>85</v>
      </c>
      <c r="E113" s="759">
        <v>17227</v>
      </c>
      <c r="F113" s="759">
        <v>12.17</v>
      </c>
    </row>
    <row r="114" spans="1:6" hidden="1">
      <c r="A114" s="762">
        <v>89</v>
      </c>
      <c r="B114" s="758" t="s">
        <v>3118</v>
      </c>
      <c r="C114" s="758" t="s">
        <v>134</v>
      </c>
      <c r="D114" s="758" t="s">
        <v>101</v>
      </c>
      <c r="E114" s="759">
        <v>3.6</v>
      </c>
      <c r="F114" s="759">
        <v>3.3</v>
      </c>
    </row>
    <row r="115" spans="1:6" hidden="1">
      <c r="A115" s="762">
        <v>89</v>
      </c>
      <c r="B115" s="758" t="s">
        <v>3118</v>
      </c>
      <c r="C115" s="758" t="s">
        <v>134</v>
      </c>
      <c r="D115" s="758" t="s">
        <v>85</v>
      </c>
      <c r="E115" s="759">
        <v>2541</v>
      </c>
      <c r="F115" s="759">
        <v>55.35</v>
      </c>
    </row>
    <row r="116" spans="1:6" hidden="1">
      <c r="A116" s="762">
        <v>98</v>
      </c>
      <c r="B116" s="758" t="s">
        <v>3586</v>
      </c>
      <c r="C116" s="758" t="s">
        <v>134</v>
      </c>
      <c r="D116" s="758" t="s">
        <v>101</v>
      </c>
      <c r="E116" s="759">
        <v>0.75</v>
      </c>
      <c r="F116" s="759">
        <v>0.7</v>
      </c>
    </row>
    <row r="117" spans="1:6" hidden="1">
      <c r="A117" s="762">
        <v>98</v>
      </c>
      <c r="B117" s="758" t="s">
        <v>3586</v>
      </c>
      <c r="C117" s="758" t="s">
        <v>134</v>
      </c>
      <c r="D117" s="758" t="s">
        <v>85</v>
      </c>
      <c r="E117" s="759">
        <v>2716</v>
      </c>
      <c r="F117" s="759">
        <v>9.2899999999999991</v>
      </c>
    </row>
    <row r="118" spans="1:6" hidden="1">
      <c r="A118" s="762">
        <v>102</v>
      </c>
      <c r="B118" s="758" t="s">
        <v>3315</v>
      </c>
      <c r="C118" s="758" t="s">
        <v>134</v>
      </c>
      <c r="D118" s="758" t="s">
        <v>85</v>
      </c>
      <c r="E118" s="759">
        <v>8721.9440000000013</v>
      </c>
      <c r="F118" s="759">
        <v>21.54</v>
      </c>
    </row>
    <row r="119" spans="1:6" hidden="1">
      <c r="A119" s="762">
        <v>102</v>
      </c>
      <c r="B119" s="758" t="s">
        <v>3315</v>
      </c>
      <c r="C119" s="758" t="s">
        <v>134</v>
      </c>
      <c r="D119" s="758" t="s">
        <v>101</v>
      </c>
      <c r="E119" s="759">
        <v>0.42</v>
      </c>
      <c r="F119" s="759">
        <v>0.4</v>
      </c>
    </row>
    <row r="120" spans="1:6" hidden="1">
      <c r="A120" s="762">
        <v>5</v>
      </c>
      <c r="B120" s="758" t="s">
        <v>3533</v>
      </c>
      <c r="C120" s="758" t="s">
        <v>3205</v>
      </c>
      <c r="D120" s="758" t="s">
        <v>85</v>
      </c>
      <c r="E120" s="759">
        <v>375.28</v>
      </c>
      <c r="F120" s="759">
        <v>4.22</v>
      </c>
    </row>
    <row r="121" spans="1:6" hidden="1">
      <c r="A121" s="762">
        <v>6</v>
      </c>
      <c r="B121" s="758" t="s">
        <v>3534</v>
      </c>
      <c r="C121" s="758" t="s">
        <v>3205</v>
      </c>
      <c r="D121" s="758" t="s">
        <v>101</v>
      </c>
      <c r="E121" s="759">
        <v>38.200000000000003</v>
      </c>
      <c r="F121" s="759">
        <v>37.299999999999997</v>
      </c>
    </row>
    <row r="122" spans="1:6" hidden="1">
      <c r="A122" s="762">
        <v>10</v>
      </c>
      <c r="B122" s="758" t="s">
        <v>3536</v>
      </c>
      <c r="C122" s="758" t="s">
        <v>3205</v>
      </c>
      <c r="D122" s="758" t="s">
        <v>98</v>
      </c>
      <c r="E122" s="759">
        <v>92.5</v>
      </c>
      <c r="F122" s="759">
        <v>83.25</v>
      </c>
    </row>
    <row r="123" spans="1:6" hidden="1">
      <c r="A123" s="762">
        <v>10</v>
      </c>
      <c r="B123" s="758" t="s">
        <v>3536</v>
      </c>
      <c r="C123" s="758" t="s">
        <v>3205</v>
      </c>
      <c r="D123" s="758" t="s">
        <v>3268</v>
      </c>
      <c r="E123" s="759">
        <v>358</v>
      </c>
      <c r="F123" s="759">
        <v>8.5399999999999991</v>
      </c>
    </row>
    <row r="124" spans="1:6" hidden="1">
      <c r="A124" s="762">
        <v>22</v>
      </c>
      <c r="B124" s="758" t="s">
        <v>3233</v>
      </c>
      <c r="C124" s="758" t="s">
        <v>3205</v>
      </c>
      <c r="D124" s="758" t="s">
        <v>3268</v>
      </c>
      <c r="E124" s="759">
        <v>880</v>
      </c>
      <c r="F124" s="759">
        <v>21.22</v>
      </c>
    </row>
    <row r="125" spans="1:6" hidden="1">
      <c r="A125" s="762">
        <v>1</v>
      </c>
      <c r="B125" s="758" t="s">
        <v>3530</v>
      </c>
      <c r="C125" s="758" t="s">
        <v>73</v>
      </c>
      <c r="D125" s="758" t="s">
        <v>85</v>
      </c>
      <c r="E125" s="759">
        <v>471</v>
      </c>
      <c r="F125" s="759">
        <v>11.36</v>
      </c>
    </row>
    <row r="126" spans="1:6" hidden="1">
      <c r="A126" s="762">
        <v>11</v>
      </c>
      <c r="B126" s="758" t="s">
        <v>72</v>
      </c>
      <c r="C126" s="758" t="s">
        <v>73</v>
      </c>
      <c r="D126" s="758" t="s">
        <v>101</v>
      </c>
      <c r="E126" s="759">
        <v>8</v>
      </c>
      <c r="F126" s="759">
        <v>7.5</v>
      </c>
    </row>
    <row r="127" spans="1:6" hidden="1">
      <c r="A127" s="762">
        <v>11</v>
      </c>
      <c r="B127" s="758" t="s">
        <v>72</v>
      </c>
      <c r="C127" s="758" t="s">
        <v>73</v>
      </c>
      <c r="D127" s="758" t="s">
        <v>85</v>
      </c>
      <c r="E127" s="759">
        <v>2814</v>
      </c>
      <c r="F127" s="759">
        <v>10.18</v>
      </c>
    </row>
    <row r="128" spans="1:6" hidden="1">
      <c r="A128" s="762">
        <v>48</v>
      </c>
      <c r="B128" s="758" t="s">
        <v>3555</v>
      </c>
      <c r="C128" s="758" t="s">
        <v>73</v>
      </c>
      <c r="D128" s="758" t="s">
        <v>85</v>
      </c>
      <c r="E128" s="759">
        <v>42672</v>
      </c>
      <c r="F128" s="759">
        <v>159.55000000000001</v>
      </c>
    </row>
    <row r="129" spans="1:6" hidden="1">
      <c r="A129" s="762">
        <v>79</v>
      </c>
      <c r="B129" s="758" t="s">
        <v>154</v>
      </c>
      <c r="C129" s="758" t="s">
        <v>73</v>
      </c>
      <c r="D129" s="758" t="s">
        <v>101</v>
      </c>
      <c r="E129" s="759">
        <v>12</v>
      </c>
      <c r="F129" s="759">
        <v>8.5</v>
      </c>
    </row>
    <row r="130" spans="1:6" hidden="1">
      <c r="A130" s="762">
        <v>79</v>
      </c>
      <c r="B130" s="758" t="s">
        <v>154</v>
      </c>
      <c r="C130" s="758" t="s">
        <v>73</v>
      </c>
      <c r="D130" s="758" t="s">
        <v>104</v>
      </c>
      <c r="E130" s="759">
        <v>1.4</v>
      </c>
      <c r="F130" s="759">
        <v>1.4</v>
      </c>
    </row>
    <row r="131" spans="1:6" hidden="1">
      <c r="A131" s="762">
        <v>79</v>
      </c>
      <c r="B131" s="758" t="s">
        <v>154</v>
      </c>
      <c r="C131" s="758" t="s">
        <v>73</v>
      </c>
      <c r="D131" s="758" t="s">
        <v>105</v>
      </c>
      <c r="E131" s="759">
        <v>40</v>
      </c>
      <c r="F131" s="759">
        <v>30</v>
      </c>
    </row>
    <row r="132" spans="1:6" hidden="1">
      <c r="A132" s="762">
        <v>79</v>
      </c>
      <c r="B132" s="758" t="s">
        <v>154</v>
      </c>
      <c r="C132" s="758" t="s">
        <v>73</v>
      </c>
      <c r="D132" s="758" t="s">
        <v>85</v>
      </c>
      <c r="E132" s="759">
        <v>1531</v>
      </c>
      <c r="F132" s="759">
        <v>24.89</v>
      </c>
    </row>
    <row r="133" spans="1:6" hidden="1">
      <c r="A133" s="762">
        <v>79</v>
      </c>
      <c r="B133" s="758" t="s">
        <v>154</v>
      </c>
      <c r="C133" s="758" t="s">
        <v>73</v>
      </c>
      <c r="D133" s="758" t="s">
        <v>98</v>
      </c>
      <c r="E133" s="759">
        <v>101</v>
      </c>
      <c r="F133" s="759">
        <v>10.39</v>
      </c>
    </row>
    <row r="134" spans="1:6" hidden="1">
      <c r="A134" s="762">
        <v>37</v>
      </c>
      <c r="B134" s="758" t="s">
        <v>3591</v>
      </c>
      <c r="C134" s="758" t="s">
        <v>73</v>
      </c>
      <c r="D134" s="758" t="s">
        <v>3268</v>
      </c>
      <c r="E134" s="759">
        <v>5423</v>
      </c>
      <c r="F134" s="759">
        <v>119.87</v>
      </c>
    </row>
    <row r="135" spans="1:6" hidden="1">
      <c r="A135" s="762">
        <v>99</v>
      </c>
      <c r="B135" s="758" t="s">
        <v>3301</v>
      </c>
      <c r="C135" s="758" t="s">
        <v>73</v>
      </c>
      <c r="D135" s="758" t="s">
        <v>3268</v>
      </c>
      <c r="E135" s="759">
        <v>118314</v>
      </c>
      <c r="F135" s="759">
        <v>500</v>
      </c>
    </row>
    <row r="136" spans="1:6" hidden="1">
      <c r="A136" s="762">
        <v>4</v>
      </c>
      <c r="B136" s="758" t="s">
        <v>100</v>
      </c>
      <c r="C136" s="758" t="s">
        <v>89</v>
      </c>
      <c r="D136" s="758" t="s">
        <v>101</v>
      </c>
      <c r="E136" s="759">
        <v>1</v>
      </c>
      <c r="F136" s="759">
        <v>1</v>
      </c>
    </row>
    <row r="137" spans="1:6" hidden="1">
      <c r="A137" s="762">
        <v>4</v>
      </c>
      <c r="B137" s="758" t="s">
        <v>100</v>
      </c>
      <c r="C137" s="758" t="s">
        <v>89</v>
      </c>
      <c r="D137" s="758" t="s">
        <v>98</v>
      </c>
      <c r="E137" s="759">
        <v>17.850000000000001</v>
      </c>
      <c r="F137" s="759">
        <v>16.95</v>
      </c>
    </row>
    <row r="138" spans="1:6" hidden="1">
      <c r="A138" s="762">
        <v>4</v>
      </c>
      <c r="B138" s="758" t="s">
        <v>100</v>
      </c>
      <c r="C138" s="758" t="s">
        <v>89</v>
      </c>
      <c r="D138" s="758" t="s">
        <v>104</v>
      </c>
      <c r="E138" s="759">
        <v>10</v>
      </c>
      <c r="F138" s="759">
        <v>10</v>
      </c>
    </row>
    <row r="139" spans="1:6" hidden="1">
      <c r="A139" s="762">
        <v>4</v>
      </c>
      <c r="B139" s="758" t="s">
        <v>100</v>
      </c>
      <c r="C139" s="758" t="s">
        <v>89</v>
      </c>
      <c r="D139" s="758" t="s">
        <v>105</v>
      </c>
      <c r="E139" s="759">
        <v>10</v>
      </c>
      <c r="F139" s="759">
        <v>0</v>
      </c>
    </row>
    <row r="140" spans="1:6" hidden="1">
      <c r="A140" s="762">
        <v>4</v>
      </c>
      <c r="B140" s="758" t="s">
        <v>100</v>
      </c>
      <c r="C140" s="758" t="s">
        <v>89</v>
      </c>
      <c r="D140" s="758" t="s">
        <v>85</v>
      </c>
      <c r="E140" s="759">
        <v>4608.7545</v>
      </c>
      <c r="F140" s="759">
        <v>0</v>
      </c>
    </row>
    <row r="141" spans="1:6" hidden="1">
      <c r="A141" s="762">
        <v>7</v>
      </c>
      <c r="B141" s="758" t="s">
        <v>108</v>
      </c>
      <c r="C141" s="758" t="s">
        <v>89</v>
      </c>
      <c r="D141" s="758" t="s">
        <v>101</v>
      </c>
      <c r="E141" s="759">
        <v>2.7</v>
      </c>
      <c r="F141" s="759">
        <v>2.67</v>
      </c>
    </row>
    <row r="142" spans="1:6" hidden="1">
      <c r="A142" s="762">
        <v>7</v>
      </c>
      <c r="B142" s="758" t="s">
        <v>108</v>
      </c>
      <c r="C142" s="758" t="s">
        <v>89</v>
      </c>
      <c r="D142" s="758" t="s">
        <v>85</v>
      </c>
      <c r="E142" s="759">
        <v>407.21284000000003</v>
      </c>
      <c r="F142" s="759">
        <v>9.7100000000000009</v>
      </c>
    </row>
    <row r="143" spans="1:6" hidden="1">
      <c r="A143" s="762">
        <v>9</v>
      </c>
      <c r="B143" s="758" t="s">
        <v>125</v>
      </c>
      <c r="C143" s="758" t="s">
        <v>89</v>
      </c>
      <c r="D143" s="758" t="s">
        <v>85</v>
      </c>
      <c r="E143" s="759">
        <v>375.93599999999998</v>
      </c>
      <c r="F143" s="759">
        <v>1.35</v>
      </c>
    </row>
    <row r="144" spans="1:6" hidden="1">
      <c r="A144" s="762">
        <v>9</v>
      </c>
      <c r="B144" s="758" t="s">
        <v>125</v>
      </c>
      <c r="C144" s="758" t="s">
        <v>89</v>
      </c>
      <c r="D144" s="758" t="s">
        <v>101</v>
      </c>
      <c r="E144" s="759">
        <v>0.47</v>
      </c>
      <c r="F144" s="759">
        <v>0.4</v>
      </c>
    </row>
    <row r="145" spans="1:6" hidden="1">
      <c r="A145" s="762">
        <v>13</v>
      </c>
      <c r="B145" s="758" t="s">
        <v>106</v>
      </c>
      <c r="C145" s="758" t="s">
        <v>89</v>
      </c>
      <c r="D145" s="758" t="s">
        <v>85</v>
      </c>
      <c r="E145" s="759">
        <v>784</v>
      </c>
      <c r="F145" s="759">
        <v>3.35</v>
      </c>
    </row>
    <row r="146" spans="1:6" hidden="1">
      <c r="A146" s="762">
        <v>18</v>
      </c>
      <c r="B146" s="758" t="s">
        <v>3253</v>
      </c>
      <c r="C146" s="758" t="s">
        <v>89</v>
      </c>
      <c r="D146" s="758" t="s">
        <v>101</v>
      </c>
      <c r="E146" s="759">
        <v>1.2</v>
      </c>
      <c r="F146" s="759">
        <v>1.1000000000000001</v>
      </c>
    </row>
    <row r="147" spans="1:6" hidden="1">
      <c r="A147" s="762">
        <v>18</v>
      </c>
      <c r="B147" s="758" t="s">
        <v>3253</v>
      </c>
      <c r="C147" s="758" t="s">
        <v>89</v>
      </c>
      <c r="D147" s="758" t="s">
        <v>85</v>
      </c>
      <c r="E147" s="759">
        <v>854</v>
      </c>
      <c r="F147" s="759">
        <v>4.95</v>
      </c>
    </row>
    <row r="148" spans="1:6" hidden="1">
      <c r="A148" s="762">
        <v>23</v>
      </c>
      <c r="B148" s="758" t="s">
        <v>3184</v>
      </c>
      <c r="C148" s="758" t="s">
        <v>89</v>
      </c>
      <c r="D148" s="758" t="s">
        <v>105</v>
      </c>
      <c r="E148" s="759">
        <v>32.5</v>
      </c>
      <c r="F148" s="759">
        <v>32.5</v>
      </c>
    </row>
    <row r="149" spans="1:6" hidden="1">
      <c r="A149" s="762">
        <v>23</v>
      </c>
      <c r="B149" s="758" t="s">
        <v>3184</v>
      </c>
      <c r="C149" s="758" t="s">
        <v>89</v>
      </c>
      <c r="D149" s="758" t="s">
        <v>104</v>
      </c>
      <c r="E149" s="759">
        <v>70</v>
      </c>
      <c r="F149" s="759">
        <v>30</v>
      </c>
    </row>
    <row r="150" spans="1:6" hidden="1">
      <c r="A150" s="762">
        <v>23</v>
      </c>
      <c r="B150" s="758" t="s">
        <v>3184</v>
      </c>
      <c r="C150" s="758" t="s">
        <v>89</v>
      </c>
      <c r="D150" s="758" t="s">
        <v>101</v>
      </c>
      <c r="E150" s="759">
        <v>3</v>
      </c>
      <c r="F150" s="759">
        <v>2.8</v>
      </c>
    </row>
    <row r="151" spans="1:6" hidden="1">
      <c r="A151" s="762">
        <v>23</v>
      </c>
      <c r="B151" s="758" t="s">
        <v>3184</v>
      </c>
      <c r="C151" s="758" t="s">
        <v>89</v>
      </c>
      <c r="D151" s="758" t="s">
        <v>85</v>
      </c>
      <c r="E151" s="759">
        <v>7875</v>
      </c>
      <c r="F151" s="759">
        <v>18.989999999999998</v>
      </c>
    </row>
    <row r="152" spans="1:6" hidden="1">
      <c r="A152" s="762">
        <v>24</v>
      </c>
      <c r="B152" s="758" t="s">
        <v>3195</v>
      </c>
      <c r="C152" s="758" t="s">
        <v>89</v>
      </c>
      <c r="D152" s="758" t="s">
        <v>101</v>
      </c>
      <c r="E152" s="759">
        <v>6</v>
      </c>
      <c r="F152" s="759">
        <v>0</v>
      </c>
    </row>
    <row r="153" spans="1:6" hidden="1">
      <c r="A153" s="762">
        <v>24</v>
      </c>
      <c r="B153" s="758" t="s">
        <v>3195</v>
      </c>
      <c r="C153" s="758" t="s">
        <v>89</v>
      </c>
      <c r="D153" s="758" t="s">
        <v>85</v>
      </c>
      <c r="E153" s="759">
        <v>7806</v>
      </c>
      <c r="F153" s="759">
        <v>18.829999999999998</v>
      </c>
    </row>
    <row r="154" spans="1:6" hidden="1">
      <c r="A154" s="762">
        <v>25</v>
      </c>
      <c r="B154" s="758" t="s">
        <v>117</v>
      </c>
      <c r="C154" s="758" t="s">
        <v>89</v>
      </c>
      <c r="D154" s="758" t="s">
        <v>85</v>
      </c>
      <c r="E154" s="759">
        <v>587.59850000000006</v>
      </c>
      <c r="F154" s="759">
        <v>14.16</v>
      </c>
    </row>
    <row r="155" spans="1:6" hidden="1">
      <c r="A155" s="762">
        <v>31</v>
      </c>
      <c r="B155" s="758" t="s">
        <v>88</v>
      </c>
      <c r="C155" s="758" t="s">
        <v>89</v>
      </c>
      <c r="D155" s="758" t="s">
        <v>85</v>
      </c>
      <c r="E155" s="759">
        <v>1247.3999999999999</v>
      </c>
      <c r="F155" s="759">
        <v>5.77</v>
      </c>
    </row>
    <row r="156" spans="1:6" hidden="1">
      <c r="A156" s="762">
        <v>43</v>
      </c>
      <c r="B156" s="758" t="s">
        <v>3552</v>
      </c>
      <c r="C156" s="758" t="s">
        <v>89</v>
      </c>
      <c r="D156" s="758" t="s">
        <v>85</v>
      </c>
      <c r="E156" s="759">
        <v>1225</v>
      </c>
      <c r="F156" s="759">
        <v>2.94</v>
      </c>
    </row>
    <row r="157" spans="1:6" hidden="1">
      <c r="A157" s="762">
        <v>47</v>
      </c>
      <c r="B157" s="758" t="s">
        <v>3262</v>
      </c>
      <c r="C157" s="758" t="s">
        <v>89</v>
      </c>
      <c r="D157" s="758" t="s">
        <v>99</v>
      </c>
      <c r="E157" s="759">
        <v>9.5839999999999996</v>
      </c>
      <c r="F157" s="759">
        <v>9.5</v>
      </c>
    </row>
    <row r="158" spans="1:6" hidden="1">
      <c r="A158" s="762">
        <v>47</v>
      </c>
      <c r="B158" s="758" t="s">
        <v>3262</v>
      </c>
      <c r="C158" s="758" t="s">
        <v>89</v>
      </c>
      <c r="D158" s="758" t="s">
        <v>85</v>
      </c>
      <c r="E158" s="759">
        <v>1029</v>
      </c>
      <c r="F158" s="759">
        <v>14.25</v>
      </c>
    </row>
    <row r="159" spans="1:6" hidden="1">
      <c r="A159" s="762">
        <v>50</v>
      </c>
      <c r="B159" s="758" t="s">
        <v>3196</v>
      </c>
      <c r="C159" s="758" t="s">
        <v>89</v>
      </c>
      <c r="D159" s="758" t="s">
        <v>101</v>
      </c>
      <c r="E159" s="759">
        <v>1.9</v>
      </c>
      <c r="F159" s="759">
        <v>1.8</v>
      </c>
    </row>
    <row r="160" spans="1:6" hidden="1">
      <c r="A160" s="762">
        <v>50</v>
      </c>
      <c r="B160" s="758" t="s">
        <v>3196</v>
      </c>
      <c r="C160" s="758" t="s">
        <v>89</v>
      </c>
      <c r="D160" s="758" t="s">
        <v>99</v>
      </c>
      <c r="E160" s="759">
        <v>17.190000000000001</v>
      </c>
      <c r="F160" s="759">
        <v>17</v>
      </c>
    </row>
    <row r="161" spans="1:6" hidden="1">
      <c r="A161" s="762">
        <v>50</v>
      </c>
      <c r="B161" s="758" t="s">
        <v>3196</v>
      </c>
      <c r="C161" s="758" t="s">
        <v>89</v>
      </c>
      <c r="D161" s="758" t="s">
        <v>85</v>
      </c>
      <c r="E161" s="759">
        <v>1247</v>
      </c>
      <c r="F161" s="759">
        <v>10.029999999999999</v>
      </c>
    </row>
    <row r="162" spans="1:6" hidden="1">
      <c r="A162" s="762">
        <v>61</v>
      </c>
      <c r="B162" s="758" t="s">
        <v>3563</v>
      </c>
      <c r="C162" s="758" t="s">
        <v>89</v>
      </c>
      <c r="D162" s="758" t="s">
        <v>85</v>
      </c>
      <c r="E162" s="759">
        <v>1225</v>
      </c>
      <c r="F162" s="759">
        <v>5.91</v>
      </c>
    </row>
    <row r="163" spans="1:6" hidden="1">
      <c r="A163" s="762">
        <v>63</v>
      </c>
      <c r="B163" s="758" t="s">
        <v>3565</v>
      </c>
      <c r="C163" s="758" t="s">
        <v>89</v>
      </c>
      <c r="D163" s="758" t="s">
        <v>101</v>
      </c>
      <c r="E163" s="759">
        <v>1.4</v>
      </c>
      <c r="F163" s="759">
        <v>1.3</v>
      </c>
    </row>
    <row r="164" spans="1:6" hidden="1">
      <c r="A164" s="762">
        <v>63</v>
      </c>
      <c r="B164" s="758" t="s">
        <v>3565</v>
      </c>
      <c r="C164" s="758" t="s">
        <v>89</v>
      </c>
      <c r="D164" s="758" t="s">
        <v>85</v>
      </c>
      <c r="E164" s="759">
        <v>25767</v>
      </c>
      <c r="F164" s="759">
        <v>62.15</v>
      </c>
    </row>
    <row r="165" spans="1:6" hidden="1">
      <c r="A165" s="762">
        <v>69</v>
      </c>
      <c r="B165" s="758" t="s">
        <v>3569</v>
      </c>
      <c r="C165" s="758" t="s">
        <v>89</v>
      </c>
      <c r="D165" s="758" t="s">
        <v>85</v>
      </c>
      <c r="E165" s="759">
        <v>7300</v>
      </c>
      <c r="F165" s="759">
        <v>26.05</v>
      </c>
    </row>
    <row r="166" spans="1:6" hidden="1">
      <c r="A166" s="762">
        <v>70</v>
      </c>
      <c r="B166" s="758" t="s">
        <v>3570</v>
      </c>
      <c r="C166" s="758" t="s">
        <v>89</v>
      </c>
      <c r="D166" s="758" t="s">
        <v>85</v>
      </c>
      <c r="E166" s="759">
        <v>390</v>
      </c>
      <c r="F166" s="759">
        <v>5.0199999999999996</v>
      </c>
    </row>
    <row r="167" spans="1:6" hidden="1">
      <c r="A167" s="762">
        <v>74</v>
      </c>
      <c r="B167" s="758" t="s">
        <v>122</v>
      </c>
      <c r="C167" s="758" t="s">
        <v>89</v>
      </c>
      <c r="D167" s="758" t="s">
        <v>85</v>
      </c>
      <c r="E167" s="759">
        <v>3941.4900000000002</v>
      </c>
      <c r="F167" s="759">
        <v>9.51</v>
      </c>
    </row>
    <row r="168" spans="1:6" hidden="1">
      <c r="A168" s="762">
        <v>76</v>
      </c>
      <c r="B168" s="758" t="s">
        <v>110</v>
      </c>
      <c r="C168" s="758" t="s">
        <v>89</v>
      </c>
      <c r="D168" s="758" t="s">
        <v>85</v>
      </c>
      <c r="E168" s="759">
        <v>5829.4018900000001</v>
      </c>
      <c r="F168" s="759">
        <v>28.1</v>
      </c>
    </row>
    <row r="169" spans="1:6" hidden="1">
      <c r="A169" s="762">
        <v>77</v>
      </c>
      <c r="B169" s="758" t="s">
        <v>3573</v>
      </c>
      <c r="C169" s="758" t="s">
        <v>89</v>
      </c>
      <c r="D169" s="758" t="s">
        <v>101</v>
      </c>
      <c r="E169" s="759">
        <v>4.3</v>
      </c>
      <c r="F169" s="759">
        <v>1.4</v>
      </c>
    </row>
    <row r="170" spans="1:6" hidden="1">
      <c r="A170" s="762">
        <v>77</v>
      </c>
      <c r="B170" s="758" t="s">
        <v>3573</v>
      </c>
      <c r="C170" s="758" t="s">
        <v>89</v>
      </c>
      <c r="D170" s="758" t="s">
        <v>85</v>
      </c>
      <c r="E170" s="759">
        <v>1035</v>
      </c>
      <c r="F170" s="759">
        <v>19.420000000000002</v>
      </c>
    </row>
    <row r="171" spans="1:6" hidden="1">
      <c r="A171" s="762">
        <v>82</v>
      </c>
      <c r="B171" s="758" t="s">
        <v>3576</v>
      </c>
      <c r="C171" s="758" t="s">
        <v>89</v>
      </c>
      <c r="D171" s="758" t="s">
        <v>85</v>
      </c>
      <c r="E171" s="759">
        <v>16002</v>
      </c>
      <c r="F171" s="759">
        <v>38.590000000000003</v>
      </c>
    </row>
    <row r="172" spans="1:6" hidden="1">
      <c r="A172" s="762">
        <v>85</v>
      </c>
      <c r="B172" s="758" t="s">
        <v>112</v>
      </c>
      <c r="C172" s="758" t="s">
        <v>89</v>
      </c>
      <c r="D172" s="758" t="s">
        <v>85</v>
      </c>
      <c r="E172" s="759">
        <v>6580</v>
      </c>
      <c r="F172" s="759">
        <v>23.81</v>
      </c>
    </row>
    <row r="173" spans="1:6" hidden="1">
      <c r="A173" s="762">
        <v>91</v>
      </c>
      <c r="B173" s="758" t="s">
        <v>3581</v>
      </c>
      <c r="C173" s="758" t="s">
        <v>89</v>
      </c>
      <c r="D173" s="758" t="s">
        <v>85</v>
      </c>
      <c r="E173" s="759">
        <v>3122</v>
      </c>
      <c r="F173" s="759">
        <v>23.58</v>
      </c>
    </row>
    <row r="174" spans="1:6" hidden="1">
      <c r="A174" s="762">
        <v>100</v>
      </c>
      <c r="B174" s="758" t="s">
        <v>114</v>
      </c>
      <c r="C174" s="758" t="s">
        <v>89</v>
      </c>
      <c r="D174" s="758" t="s">
        <v>101</v>
      </c>
      <c r="E174" s="759">
        <v>1.68</v>
      </c>
      <c r="F174" s="759">
        <v>1.58</v>
      </c>
    </row>
    <row r="175" spans="1:6" hidden="1">
      <c r="A175" s="762">
        <v>100</v>
      </c>
      <c r="B175" s="758" t="s">
        <v>114</v>
      </c>
      <c r="C175" s="758" t="s">
        <v>89</v>
      </c>
      <c r="D175" s="758" t="s">
        <v>99</v>
      </c>
      <c r="E175" s="759">
        <v>12.11</v>
      </c>
      <c r="F175" s="759">
        <v>12</v>
      </c>
    </row>
    <row r="176" spans="1:6" hidden="1">
      <c r="A176" s="762">
        <v>100</v>
      </c>
      <c r="B176" s="758" t="s">
        <v>114</v>
      </c>
      <c r="C176" s="758" t="s">
        <v>89</v>
      </c>
      <c r="D176" s="758" t="s">
        <v>85</v>
      </c>
      <c r="E176" s="759">
        <v>3551.9975350000004</v>
      </c>
      <c r="F176" s="759">
        <v>8.56</v>
      </c>
    </row>
    <row r="177" spans="1:6" hidden="1">
      <c r="A177" s="762">
        <v>101</v>
      </c>
      <c r="B177" s="758" t="s">
        <v>3587</v>
      </c>
      <c r="C177" s="758" t="s">
        <v>89</v>
      </c>
      <c r="D177" s="758" t="s">
        <v>85</v>
      </c>
      <c r="E177" s="759">
        <v>10108</v>
      </c>
      <c r="F177" s="759">
        <v>62.65</v>
      </c>
    </row>
    <row r="178" spans="1:6" hidden="1">
      <c r="A178" s="762">
        <v>105</v>
      </c>
      <c r="B178" s="758" t="s">
        <v>3590</v>
      </c>
      <c r="C178" s="758" t="s">
        <v>89</v>
      </c>
      <c r="D178" s="758" t="s">
        <v>85</v>
      </c>
      <c r="E178" s="759">
        <v>3815</v>
      </c>
      <c r="F178" s="759">
        <v>7.75</v>
      </c>
    </row>
    <row r="179" spans="1:6" hidden="1">
      <c r="A179" s="762">
        <v>106</v>
      </c>
      <c r="B179" s="758" t="s">
        <v>3265</v>
      </c>
      <c r="C179" s="758" t="s">
        <v>89</v>
      </c>
      <c r="D179" s="758" t="s">
        <v>101</v>
      </c>
      <c r="E179" s="759">
        <v>1.6</v>
      </c>
      <c r="F179" s="759">
        <v>1.6</v>
      </c>
    </row>
    <row r="180" spans="1:6" hidden="1">
      <c r="A180" s="762">
        <v>108</v>
      </c>
      <c r="B180" s="758" t="s">
        <v>178</v>
      </c>
      <c r="C180" s="758" t="s">
        <v>89</v>
      </c>
      <c r="D180" s="758" t="s">
        <v>3268</v>
      </c>
      <c r="E180" s="759">
        <v>342</v>
      </c>
      <c r="F180" s="759">
        <v>8.25</v>
      </c>
    </row>
    <row r="181" spans="1:6" hidden="1">
      <c r="A181" s="762">
        <v>107</v>
      </c>
      <c r="B181" s="758" t="s">
        <v>176</v>
      </c>
      <c r="C181" s="758" t="s">
        <v>89</v>
      </c>
      <c r="D181" s="758" t="s">
        <v>3268</v>
      </c>
      <c r="E181" s="759">
        <v>480</v>
      </c>
      <c r="F181" s="759">
        <v>8.44</v>
      </c>
    </row>
    <row r="182" spans="1:6" hidden="1">
      <c r="A182" s="762">
        <v>106</v>
      </c>
      <c r="B182" s="758" t="s">
        <v>3265</v>
      </c>
      <c r="C182" s="758" t="s">
        <v>89</v>
      </c>
      <c r="D182" s="758" t="s">
        <v>3268</v>
      </c>
      <c r="E182" s="759">
        <v>350</v>
      </c>
      <c r="F182" s="759">
        <v>0</v>
      </c>
    </row>
  </sheetData>
  <autoFilter ref="A2:F182">
    <filterColumn colId="2">
      <filters>
        <filter val="滨州"/>
        <filter val="聊城"/>
        <filter val="泰安"/>
      </filters>
    </filterColumn>
    <sortState ref="A3:F182">
      <sortCondition ref="C2"/>
    </sortState>
  </autoFilter>
  <phoneticPr fontId="92" type="noConversion"/>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3"/>
  <sheetViews>
    <sheetView tabSelected="1" workbookViewId="0">
      <selection activeCell="A2" sqref="A2:D2"/>
    </sheetView>
  </sheetViews>
  <sheetFormatPr defaultRowHeight="13.5"/>
  <cols>
    <col min="2" max="2" width="29.375" customWidth="1"/>
    <col min="4" max="4" width="49.875" customWidth="1"/>
  </cols>
  <sheetData>
    <row r="1" spans="1:4">
      <c r="A1" s="1039" t="s">
        <v>3613</v>
      </c>
    </row>
    <row r="2" spans="1:4" ht="53.25" customHeight="1">
      <c r="A2" s="1037" t="s">
        <v>3612</v>
      </c>
      <c r="B2" s="1038"/>
      <c r="C2" s="1038"/>
      <c r="D2" s="1038"/>
    </row>
    <row r="3" spans="1:4">
      <c r="A3" s="763" t="s">
        <v>180</v>
      </c>
      <c r="B3" s="763" t="s">
        <v>2</v>
      </c>
      <c r="C3" s="763" t="s">
        <v>18</v>
      </c>
      <c r="D3" s="763" t="s">
        <v>3595</v>
      </c>
    </row>
    <row r="4" spans="1:4">
      <c r="A4" s="764">
        <v>1</v>
      </c>
      <c r="B4" s="758" t="s">
        <v>3531</v>
      </c>
      <c r="C4" s="758" t="s">
        <v>129</v>
      </c>
      <c r="D4" s="758" t="s">
        <v>104</v>
      </c>
    </row>
    <row r="5" spans="1:4">
      <c r="A5" s="764">
        <v>2</v>
      </c>
      <c r="B5" s="758" t="s">
        <v>3531</v>
      </c>
      <c r="C5" s="758" t="s">
        <v>129</v>
      </c>
      <c r="D5" s="758" t="s">
        <v>98</v>
      </c>
    </row>
    <row r="6" spans="1:4">
      <c r="A6" s="764">
        <v>3</v>
      </c>
      <c r="B6" s="758" t="s">
        <v>3531</v>
      </c>
      <c r="C6" s="758" t="s">
        <v>129</v>
      </c>
      <c r="D6" s="758" t="s">
        <v>99</v>
      </c>
    </row>
    <row r="7" spans="1:4">
      <c r="A7" s="764">
        <v>4</v>
      </c>
      <c r="B7" s="758" t="s">
        <v>3531</v>
      </c>
      <c r="C7" s="758" t="s">
        <v>129</v>
      </c>
      <c r="D7" s="758" t="s">
        <v>85</v>
      </c>
    </row>
    <row r="8" spans="1:4">
      <c r="A8" s="764">
        <v>5</v>
      </c>
      <c r="B8" s="758" t="s">
        <v>3532</v>
      </c>
      <c r="C8" s="758" t="s">
        <v>129</v>
      </c>
      <c r="D8" s="758" t="s">
        <v>101</v>
      </c>
    </row>
    <row r="9" spans="1:4">
      <c r="A9" s="764">
        <v>6</v>
      </c>
      <c r="B9" s="758" t="s">
        <v>3532</v>
      </c>
      <c r="C9" s="758" t="s">
        <v>129</v>
      </c>
      <c r="D9" s="758" t="s">
        <v>99</v>
      </c>
    </row>
    <row r="10" spans="1:4">
      <c r="A10" s="764">
        <v>7</v>
      </c>
      <c r="B10" s="758" t="s">
        <v>3532</v>
      </c>
      <c r="C10" s="758" t="s">
        <v>129</v>
      </c>
      <c r="D10" s="758" t="s">
        <v>85</v>
      </c>
    </row>
    <row r="11" spans="1:4">
      <c r="A11" s="764">
        <v>8</v>
      </c>
      <c r="B11" s="758" t="s">
        <v>3535</v>
      </c>
      <c r="C11" s="758" t="s">
        <v>129</v>
      </c>
      <c r="D11" s="758" t="s">
        <v>85</v>
      </c>
    </row>
    <row r="12" spans="1:4">
      <c r="A12" s="764">
        <v>9</v>
      </c>
      <c r="B12" s="758" t="s">
        <v>3537</v>
      </c>
      <c r="C12" s="758" t="s">
        <v>129</v>
      </c>
      <c r="D12" s="758" t="s">
        <v>85</v>
      </c>
    </row>
    <row r="13" spans="1:4">
      <c r="A13" s="764">
        <v>10</v>
      </c>
      <c r="B13" s="758" t="s">
        <v>3538</v>
      </c>
      <c r="C13" s="758" t="s">
        <v>129</v>
      </c>
      <c r="D13" s="758" t="s">
        <v>85</v>
      </c>
    </row>
    <row r="14" spans="1:4">
      <c r="A14" s="764">
        <v>11</v>
      </c>
      <c r="B14" s="758" t="s">
        <v>3541</v>
      </c>
      <c r="C14" s="758" t="s">
        <v>129</v>
      </c>
      <c r="D14" s="758" t="s">
        <v>85</v>
      </c>
    </row>
    <row r="15" spans="1:4">
      <c r="A15" s="764">
        <v>12</v>
      </c>
      <c r="B15" s="758" t="s">
        <v>132</v>
      </c>
      <c r="C15" s="758" t="s">
        <v>129</v>
      </c>
      <c r="D15" s="758" t="s">
        <v>85</v>
      </c>
    </row>
    <row r="16" spans="1:4">
      <c r="A16" s="764">
        <v>13</v>
      </c>
      <c r="B16" s="758" t="s">
        <v>138</v>
      </c>
      <c r="C16" s="758" t="s">
        <v>129</v>
      </c>
      <c r="D16" s="758" t="s">
        <v>101</v>
      </c>
    </row>
    <row r="17" spans="1:4">
      <c r="A17" s="764">
        <v>14</v>
      </c>
      <c r="B17" s="758" t="s">
        <v>138</v>
      </c>
      <c r="C17" s="758" t="s">
        <v>129</v>
      </c>
      <c r="D17" s="758" t="s">
        <v>98</v>
      </c>
    </row>
    <row r="18" spans="1:4">
      <c r="A18" s="764">
        <v>15</v>
      </c>
      <c r="B18" s="758" t="s">
        <v>138</v>
      </c>
      <c r="C18" s="758" t="s">
        <v>129</v>
      </c>
      <c r="D18" s="758" t="s">
        <v>3268</v>
      </c>
    </row>
    <row r="19" spans="1:4">
      <c r="A19" s="764">
        <v>16</v>
      </c>
      <c r="B19" s="758" t="s">
        <v>3542</v>
      </c>
      <c r="C19" s="758" t="s">
        <v>129</v>
      </c>
      <c r="D19" s="758" t="s">
        <v>85</v>
      </c>
    </row>
    <row r="20" spans="1:4">
      <c r="A20" s="764">
        <v>17</v>
      </c>
      <c r="B20" s="758" t="s">
        <v>3546</v>
      </c>
      <c r="C20" s="758" t="s">
        <v>129</v>
      </c>
      <c r="D20" s="758" t="s">
        <v>85</v>
      </c>
    </row>
    <row r="21" spans="1:4">
      <c r="A21" s="764">
        <v>18</v>
      </c>
      <c r="B21" s="758" t="s">
        <v>3547</v>
      </c>
      <c r="C21" s="758" t="s">
        <v>129</v>
      </c>
      <c r="D21" s="758" t="s">
        <v>85</v>
      </c>
    </row>
    <row r="22" spans="1:4">
      <c r="A22" s="764">
        <v>19</v>
      </c>
      <c r="B22" s="758" t="s">
        <v>3548</v>
      </c>
      <c r="C22" s="758" t="s">
        <v>129</v>
      </c>
      <c r="D22" s="758" t="s">
        <v>85</v>
      </c>
    </row>
    <row r="23" spans="1:4">
      <c r="A23" s="764">
        <v>20</v>
      </c>
      <c r="B23" s="758" t="s">
        <v>147</v>
      </c>
      <c r="C23" s="758" t="s">
        <v>129</v>
      </c>
      <c r="D23" s="758" t="s">
        <v>104</v>
      </c>
    </row>
    <row r="24" spans="1:4">
      <c r="A24" s="764">
        <v>21</v>
      </c>
      <c r="B24" s="758" t="s">
        <v>147</v>
      </c>
      <c r="C24" s="758" t="s">
        <v>129</v>
      </c>
      <c r="D24" s="758" t="s">
        <v>85</v>
      </c>
    </row>
    <row r="25" spans="1:4">
      <c r="A25" s="764">
        <v>22</v>
      </c>
      <c r="B25" s="758" t="s">
        <v>152</v>
      </c>
      <c r="C25" s="758" t="s">
        <v>129</v>
      </c>
      <c r="D25" s="758" t="s">
        <v>98</v>
      </c>
    </row>
    <row r="26" spans="1:4">
      <c r="A26" s="764">
        <v>23</v>
      </c>
      <c r="B26" s="758" t="s">
        <v>3549</v>
      </c>
      <c r="C26" s="758" t="s">
        <v>129</v>
      </c>
      <c r="D26" s="758" t="s">
        <v>85</v>
      </c>
    </row>
    <row r="27" spans="1:4">
      <c r="A27" s="764">
        <v>24</v>
      </c>
      <c r="B27" s="758" t="s">
        <v>3550</v>
      </c>
      <c r="C27" s="758" t="s">
        <v>129</v>
      </c>
      <c r="D27" s="758" t="s">
        <v>85</v>
      </c>
    </row>
    <row r="28" spans="1:4">
      <c r="A28" s="764">
        <v>25</v>
      </c>
      <c r="B28" s="758" t="s">
        <v>145</v>
      </c>
      <c r="C28" s="758" t="s">
        <v>129</v>
      </c>
      <c r="D28" s="758" t="s">
        <v>101</v>
      </c>
    </row>
    <row r="29" spans="1:4">
      <c r="A29" s="764">
        <v>26</v>
      </c>
      <c r="B29" s="758" t="s">
        <v>3551</v>
      </c>
      <c r="C29" s="758" t="s">
        <v>129</v>
      </c>
      <c r="D29" s="758" t="s">
        <v>104</v>
      </c>
    </row>
    <row r="30" spans="1:4">
      <c r="A30" s="764">
        <v>27</v>
      </c>
      <c r="B30" s="758" t="s">
        <v>3551</v>
      </c>
      <c r="C30" s="758" t="s">
        <v>129</v>
      </c>
      <c r="D30" s="758" t="s">
        <v>105</v>
      </c>
    </row>
    <row r="31" spans="1:4">
      <c r="A31" s="764">
        <v>28</v>
      </c>
      <c r="B31" s="758" t="s">
        <v>3551</v>
      </c>
      <c r="C31" s="758" t="s">
        <v>129</v>
      </c>
      <c r="D31" s="758" t="s">
        <v>85</v>
      </c>
    </row>
    <row r="32" spans="1:4">
      <c r="A32" s="764">
        <v>29</v>
      </c>
      <c r="B32" s="758" t="s">
        <v>141</v>
      </c>
      <c r="C32" s="758" t="s">
        <v>129</v>
      </c>
      <c r="D32" s="758" t="s">
        <v>85</v>
      </c>
    </row>
    <row r="33" spans="1:4">
      <c r="A33" s="764">
        <v>30</v>
      </c>
      <c r="B33" s="758" t="s">
        <v>3554</v>
      </c>
      <c r="C33" s="758" t="s">
        <v>129</v>
      </c>
      <c r="D33" s="758" t="s">
        <v>105</v>
      </c>
    </row>
    <row r="34" spans="1:4">
      <c r="A34" s="764">
        <v>31</v>
      </c>
      <c r="B34" s="758" t="s">
        <v>3554</v>
      </c>
      <c r="C34" s="758" t="s">
        <v>129</v>
      </c>
      <c r="D34" s="758" t="s">
        <v>101</v>
      </c>
    </row>
    <row r="35" spans="1:4">
      <c r="A35" s="764">
        <v>32</v>
      </c>
      <c r="B35" s="758" t="s">
        <v>3554</v>
      </c>
      <c r="C35" s="758" t="s">
        <v>129</v>
      </c>
      <c r="D35" s="758" t="s">
        <v>85</v>
      </c>
    </row>
    <row r="36" spans="1:4">
      <c r="A36" s="764">
        <v>33</v>
      </c>
      <c r="B36" s="758" t="s">
        <v>3556</v>
      </c>
      <c r="C36" s="758" t="s">
        <v>129</v>
      </c>
      <c r="D36" s="758" t="s">
        <v>104</v>
      </c>
    </row>
    <row r="37" spans="1:4">
      <c r="A37" s="764">
        <v>34</v>
      </c>
      <c r="B37" s="758" t="s">
        <v>3556</v>
      </c>
      <c r="C37" s="758" t="s">
        <v>129</v>
      </c>
      <c r="D37" s="758" t="s">
        <v>3268</v>
      </c>
    </row>
    <row r="38" spans="1:4">
      <c r="A38" s="764">
        <v>35</v>
      </c>
      <c r="B38" s="758" t="s">
        <v>3557</v>
      </c>
      <c r="C38" s="758" t="s">
        <v>129</v>
      </c>
      <c r="D38" s="758" t="s">
        <v>98</v>
      </c>
    </row>
    <row r="39" spans="1:4">
      <c r="A39" s="764">
        <v>36</v>
      </c>
      <c r="B39" s="758" t="s">
        <v>3557</v>
      </c>
      <c r="C39" s="758" t="s">
        <v>129</v>
      </c>
      <c r="D39" s="758" t="s">
        <v>85</v>
      </c>
    </row>
    <row r="40" spans="1:4">
      <c r="A40" s="764">
        <v>37</v>
      </c>
      <c r="B40" s="758" t="s">
        <v>3558</v>
      </c>
      <c r="C40" s="758" t="s">
        <v>129</v>
      </c>
      <c r="D40" s="758" t="s">
        <v>85</v>
      </c>
    </row>
    <row r="41" spans="1:4">
      <c r="A41" s="764">
        <v>38</v>
      </c>
      <c r="B41" s="758" t="s">
        <v>3350</v>
      </c>
      <c r="C41" s="758" t="s">
        <v>129</v>
      </c>
      <c r="D41" s="758" t="s">
        <v>98</v>
      </c>
    </row>
    <row r="42" spans="1:4">
      <c r="A42" s="764">
        <v>39</v>
      </c>
      <c r="B42" s="758" t="s">
        <v>3165</v>
      </c>
      <c r="C42" s="758" t="s">
        <v>129</v>
      </c>
      <c r="D42" s="758" t="s">
        <v>101</v>
      </c>
    </row>
    <row r="43" spans="1:4">
      <c r="A43" s="764">
        <v>40</v>
      </c>
      <c r="B43" s="758" t="s">
        <v>3165</v>
      </c>
      <c r="C43" s="758" t="s">
        <v>129</v>
      </c>
      <c r="D43" s="758" t="s">
        <v>98</v>
      </c>
    </row>
    <row r="44" spans="1:4">
      <c r="A44" s="764">
        <v>41</v>
      </c>
      <c r="B44" s="758" t="s">
        <v>3165</v>
      </c>
      <c r="C44" s="758" t="s">
        <v>129</v>
      </c>
      <c r="D44" s="758" t="s">
        <v>3268</v>
      </c>
    </row>
    <row r="45" spans="1:4">
      <c r="A45" s="764">
        <v>42</v>
      </c>
      <c r="B45" s="758" t="s">
        <v>3272</v>
      </c>
      <c r="C45" s="758" t="s">
        <v>129</v>
      </c>
      <c r="D45" s="758" t="s">
        <v>101</v>
      </c>
    </row>
    <row r="46" spans="1:4">
      <c r="A46" s="764">
        <v>43</v>
      </c>
      <c r="B46" s="758" t="s">
        <v>3272</v>
      </c>
      <c r="C46" s="758" t="s">
        <v>129</v>
      </c>
      <c r="D46" s="758" t="s">
        <v>98</v>
      </c>
    </row>
    <row r="47" spans="1:4">
      <c r="A47" s="764">
        <v>44</v>
      </c>
      <c r="B47" s="758" t="s">
        <v>3272</v>
      </c>
      <c r="C47" s="758" t="s">
        <v>129</v>
      </c>
      <c r="D47" s="758" t="s">
        <v>85</v>
      </c>
    </row>
    <row r="48" spans="1:4">
      <c r="A48" s="764">
        <v>45</v>
      </c>
      <c r="B48" s="758" t="s">
        <v>3561</v>
      </c>
      <c r="C48" s="758" t="s">
        <v>129</v>
      </c>
      <c r="D48" s="758" t="s">
        <v>101</v>
      </c>
    </row>
    <row r="49" spans="1:4">
      <c r="A49" s="764">
        <v>46</v>
      </c>
      <c r="B49" s="758" t="s">
        <v>3561</v>
      </c>
      <c r="C49" s="758" t="s">
        <v>129</v>
      </c>
      <c r="D49" s="758" t="s">
        <v>98</v>
      </c>
    </row>
    <row r="50" spans="1:4">
      <c r="A50" s="764">
        <v>47</v>
      </c>
      <c r="B50" s="758" t="s">
        <v>3561</v>
      </c>
      <c r="C50" s="758" t="s">
        <v>129</v>
      </c>
      <c r="D50" s="758" t="s">
        <v>85</v>
      </c>
    </row>
    <row r="51" spans="1:4">
      <c r="A51" s="764">
        <v>48</v>
      </c>
      <c r="B51" s="758" t="s">
        <v>3562</v>
      </c>
      <c r="C51" s="758" t="s">
        <v>129</v>
      </c>
      <c r="D51" s="758" t="s">
        <v>101</v>
      </c>
    </row>
    <row r="52" spans="1:4">
      <c r="A52" s="764">
        <v>49</v>
      </c>
      <c r="B52" s="758" t="s">
        <v>3562</v>
      </c>
      <c r="C52" s="758" t="s">
        <v>129</v>
      </c>
      <c r="D52" s="758" t="s">
        <v>98</v>
      </c>
    </row>
    <row r="53" spans="1:4">
      <c r="A53" s="764">
        <v>50</v>
      </c>
      <c r="B53" s="758" t="s">
        <v>3562</v>
      </c>
      <c r="C53" s="758" t="s">
        <v>129</v>
      </c>
      <c r="D53" s="758" t="s">
        <v>85</v>
      </c>
    </row>
    <row r="54" spans="1:4">
      <c r="A54" s="764">
        <v>51</v>
      </c>
      <c r="B54" s="758" t="s">
        <v>3566</v>
      </c>
      <c r="C54" s="758" t="s">
        <v>129</v>
      </c>
      <c r="D54" s="758" t="s">
        <v>85</v>
      </c>
    </row>
    <row r="55" spans="1:4">
      <c r="A55" s="764">
        <v>52</v>
      </c>
      <c r="B55" s="758" t="s">
        <v>3349</v>
      </c>
      <c r="C55" s="758" t="s">
        <v>129</v>
      </c>
      <c r="D55" s="758" t="s">
        <v>101</v>
      </c>
    </row>
    <row r="56" spans="1:4">
      <c r="A56" s="764">
        <v>53</v>
      </c>
      <c r="B56" s="758" t="s">
        <v>3349</v>
      </c>
      <c r="C56" s="758" t="s">
        <v>129</v>
      </c>
      <c r="D56" s="758" t="s">
        <v>98</v>
      </c>
    </row>
    <row r="57" spans="1:4">
      <c r="A57" s="764">
        <v>54</v>
      </c>
      <c r="B57" s="758" t="s">
        <v>3349</v>
      </c>
      <c r="C57" s="758" t="s">
        <v>129</v>
      </c>
      <c r="D57" s="758" t="s">
        <v>3268</v>
      </c>
    </row>
    <row r="58" spans="1:4">
      <c r="A58" s="764">
        <v>55</v>
      </c>
      <c r="B58" s="758" t="s">
        <v>3568</v>
      </c>
      <c r="C58" s="758" t="s">
        <v>129</v>
      </c>
      <c r="D58" s="758" t="s">
        <v>85</v>
      </c>
    </row>
    <row r="59" spans="1:4">
      <c r="A59" s="764">
        <v>56</v>
      </c>
      <c r="B59" s="758" t="s">
        <v>3322</v>
      </c>
      <c r="C59" s="758" t="s">
        <v>129</v>
      </c>
      <c r="D59" s="758" t="s">
        <v>98</v>
      </c>
    </row>
    <row r="60" spans="1:4">
      <c r="A60" s="764">
        <v>57</v>
      </c>
      <c r="B60" s="758" t="s">
        <v>3322</v>
      </c>
      <c r="C60" s="758" t="s">
        <v>129</v>
      </c>
      <c r="D60" s="758" t="s">
        <v>85</v>
      </c>
    </row>
    <row r="61" spans="1:4">
      <c r="A61" s="764">
        <v>58</v>
      </c>
      <c r="B61" s="758" t="s">
        <v>3463</v>
      </c>
      <c r="C61" s="758" t="s">
        <v>129</v>
      </c>
      <c r="D61" s="758" t="s">
        <v>3268</v>
      </c>
    </row>
    <row r="62" spans="1:4">
      <c r="A62" s="764">
        <v>59</v>
      </c>
      <c r="B62" s="758" t="s">
        <v>3571</v>
      </c>
      <c r="C62" s="758" t="s">
        <v>129</v>
      </c>
      <c r="D62" s="758" t="s">
        <v>98</v>
      </c>
    </row>
    <row r="63" spans="1:4">
      <c r="A63" s="764">
        <v>60</v>
      </c>
      <c r="B63" s="758" t="s">
        <v>3572</v>
      </c>
      <c r="C63" s="758" t="s">
        <v>129</v>
      </c>
      <c r="D63" s="758" t="s">
        <v>85</v>
      </c>
    </row>
    <row r="64" spans="1:4">
      <c r="A64" s="764">
        <v>61</v>
      </c>
      <c r="B64" s="758" t="s">
        <v>3575</v>
      </c>
      <c r="C64" s="758" t="s">
        <v>129</v>
      </c>
      <c r="D64" s="758" t="s">
        <v>85</v>
      </c>
    </row>
    <row r="65" spans="1:4">
      <c r="A65" s="764">
        <v>62</v>
      </c>
      <c r="B65" s="758" t="s">
        <v>136</v>
      </c>
      <c r="C65" s="758" t="s">
        <v>129</v>
      </c>
      <c r="D65" s="758" t="s">
        <v>101</v>
      </c>
    </row>
    <row r="66" spans="1:4">
      <c r="A66" s="764">
        <v>63</v>
      </c>
      <c r="B66" s="758" t="s">
        <v>136</v>
      </c>
      <c r="C66" s="758" t="s">
        <v>129</v>
      </c>
      <c r="D66" s="758" t="s">
        <v>98</v>
      </c>
    </row>
    <row r="67" spans="1:4">
      <c r="A67" s="764">
        <v>64</v>
      </c>
      <c r="B67" s="758" t="s">
        <v>3577</v>
      </c>
      <c r="C67" s="758" t="s">
        <v>129</v>
      </c>
      <c r="D67" s="758" t="s">
        <v>85</v>
      </c>
    </row>
    <row r="68" spans="1:4">
      <c r="A68" s="764">
        <v>65</v>
      </c>
      <c r="B68" s="758" t="s">
        <v>3578</v>
      </c>
      <c r="C68" s="758" t="s">
        <v>129</v>
      </c>
      <c r="D68" s="760" t="s">
        <v>3611</v>
      </c>
    </row>
    <row r="69" spans="1:4">
      <c r="A69" s="764">
        <v>66</v>
      </c>
      <c r="B69" s="758" t="s">
        <v>3580</v>
      </c>
      <c r="C69" s="758" t="s">
        <v>129</v>
      </c>
      <c r="D69" s="758" t="s">
        <v>85</v>
      </c>
    </row>
    <row r="70" spans="1:4">
      <c r="A70" s="764">
        <v>67</v>
      </c>
      <c r="B70" s="758" t="s">
        <v>3266</v>
      </c>
      <c r="C70" s="758" t="s">
        <v>129</v>
      </c>
      <c r="D70" s="758" t="s">
        <v>101</v>
      </c>
    </row>
    <row r="71" spans="1:4">
      <c r="A71" s="764">
        <v>68</v>
      </c>
      <c r="B71" s="758" t="s">
        <v>3266</v>
      </c>
      <c r="C71" s="758" t="s">
        <v>129</v>
      </c>
      <c r="D71" s="758" t="s">
        <v>104</v>
      </c>
    </row>
    <row r="72" spans="1:4">
      <c r="A72" s="764">
        <v>69</v>
      </c>
      <c r="B72" s="758" t="s">
        <v>3266</v>
      </c>
      <c r="C72" s="758" t="s">
        <v>129</v>
      </c>
      <c r="D72" s="758" t="s">
        <v>98</v>
      </c>
    </row>
    <row r="73" spans="1:4">
      <c r="A73" s="764">
        <v>70</v>
      </c>
      <c r="B73" s="758" t="s">
        <v>3266</v>
      </c>
      <c r="C73" s="758" t="s">
        <v>129</v>
      </c>
      <c r="D73" s="758" t="s">
        <v>105</v>
      </c>
    </row>
    <row r="74" spans="1:4">
      <c r="A74" s="764">
        <v>71</v>
      </c>
      <c r="B74" s="758" t="s">
        <v>3582</v>
      </c>
      <c r="C74" s="758" t="s">
        <v>129</v>
      </c>
      <c r="D74" s="758" t="s">
        <v>85</v>
      </c>
    </row>
    <row r="75" spans="1:4">
      <c r="A75" s="764">
        <v>72</v>
      </c>
      <c r="B75" s="758" t="s">
        <v>3583</v>
      </c>
      <c r="C75" s="758" t="s">
        <v>129</v>
      </c>
      <c r="D75" s="758" t="s">
        <v>85</v>
      </c>
    </row>
    <row r="76" spans="1:4">
      <c r="A76" s="764">
        <v>73</v>
      </c>
      <c r="B76" s="758" t="s">
        <v>151</v>
      </c>
      <c r="C76" s="758" t="s">
        <v>129</v>
      </c>
      <c r="D76" s="758" t="s">
        <v>85</v>
      </c>
    </row>
    <row r="77" spans="1:4">
      <c r="A77" s="764">
        <v>74</v>
      </c>
      <c r="B77" s="758" t="s">
        <v>3126</v>
      </c>
      <c r="C77" s="758" t="s">
        <v>129</v>
      </c>
      <c r="D77" s="758" t="s">
        <v>101</v>
      </c>
    </row>
    <row r="78" spans="1:4">
      <c r="A78" s="764">
        <v>75</v>
      </c>
      <c r="B78" s="758" t="s">
        <v>3126</v>
      </c>
      <c r="C78" s="758" t="s">
        <v>129</v>
      </c>
      <c r="D78" s="758" t="s">
        <v>104</v>
      </c>
    </row>
    <row r="79" spans="1:4">
      <c r="A79" s="764">
        <v>76</v>
      </c>
      <c r="B79" s="758" t="s">
        <v>3584</v>
      </c>
      <c r="C79" s="758" t="s">
        <v>129</v>
      </c>
      <c r="D79" s="758" t="s">
        <v>101</v>
      </c>
    </row>
    <row r="80" spans="1:4">
      <c r="A80" s="764">
        <v>77</v>
      </c>
      <c r="B80" s="758" t="s">
        <v>3584</v>
      </c>
      <c r="C80" s="758" t="s">
        <v>129</v>
      </c>
      <c r="D80" s="758" t="s">
        <v>105</v>
      </c>
    </row>
    <row r="81" spans="1:4">
      <c r="A81" s="764">
        <v>78</v>
      </c>
      <c r="B81" s="758" t="s">
        <v>3584</v>
      </c>
      <c r="C81" s="758" t="s">
        <v>129</v>
      </c>
      <c r="D81" s="758" t="s">
        <v>85</v>
      </c>
    </row>
    <row r="82" spans="1:4">
      <c r="A82" s="764">
        <v>79</v>
      </c>
      <c r="B82" s="758" t="s">
        <v>3585</v>
      </c>
      <c r="C82" s="758" t="s">
        <v>129</v>
      </c>
      <c r="D82" s="758" t="s">
        <v>85</v>
      </c>
    </row>
    <row r="83" spans="1:4">
      <c r="A83" s="764">
        <v>80</v>
      </c>
      <c r="B83" s="758" t="s">
        <v>3588</v>
      </c>
      <c r="C83" s="758" t="s">
        <v>129</v>
      </c>
      <c r="D83" s="758" t="s">
        <v>85</v>
      </c>
    </row>
    <row r="84" spans="1:4">
      <c r="A84" s="764">
        <v>81</v>
      </c>
      <c r="B84" s="758" t="s">
        <v>3589</v>
      </c>
      <c r="C84" s="758" t="s">
        <v>129</v>
      </c>
      <c r="D84" s="758" t="s">
        <v>85</v>
      </c>
    </row>
    <row r="85" spans="1:4">
      <c r="A85" s="764">
        <v>82</v>
      </c>
      <c r="B85" s="758" t="s">
        <v>3539</v>
      </c>
      <c r="C85" s="758" t="s">
        <v>134</v>
      </c>
      <c r="D85" s="758" t="s">
        <v>85</v>
      </c>
    </row>
    <row r="86" spans="1:4">
      <c r="A86" s="764">
        <v>83</v>
      </c>
      <c r="B86" s="758" t="s">
        <v>3540</v>
      </c>
      <c r="C86" s="758" t="s">
        <v>134</v>
      </c>
      <c r="D86" s="758" t="s">
        <v>85</v>
      </c>
    </row>
    <row r="87" spans="1:4">
      <c r="A87" s="764">
        <v>84</v>
      </c>
      <c r="B87" s="758" t="s">
        <v>3348</v>
      </c>
      <c r="C87" s="758" t="s">
        <v>134</v>
      </c>
      <c r="D87" s="758" t="s">
        <v>101</v>
      </c>
    </row>
    <row r="88" spans="1:4">
      <c r="A88" s="764">
        <v>85</v>
      </c>
      <c r="B88" s="758" t="s">
        <v>3348</v>
      </c>
      <c r="C88" s="758" t="s">
        <v>134</v>
      </c>
      <c r="D88" s="758" t="s">
        <v>85</v>
      </c>
    </row>
    <row r="89" spans="1:4">
      <c r="A89" s="764">
        <v>86</v>
      </c>
      <c r="B89" s="758" t="s">
        <v>3544</v>
      </c>
      <c r="C89" s="758" t="s">
        <v>134</v>
      </c>
      <c r="D89" s="758" t="s">
        <v>85</v>
      </c>
    </row>
    <row r="90" spans="1:4">
      <c r="A90" s="764">
        <v>87</v>
      </c>
      <c r="B90" s="758" t="s">
        <v>3186</v>
      </c>
      <c r="C90" s="758" t="s">
        <v>134</v>
      </c>
      <c r="D90" s="758" t="s">
        <v>3545</v>
      </c>
    </row>
    <row r="91" spans="1:4">
      <c r="A91" s="764">
        <v>88</v>
      </c>
      <c r="B91" s="758" t="s">
        <v>3186</v>
      </c>
      <c r="C91" s="758" t="s">
        <v>134</v>
      </c>
      <c r="D91" s="758" t="s">
        <v>85</v>
      </c>
    </row>
    <row r="92" spans="1:4">
      <c r="A92" s="764">
        <v>89</v>
      </c>
      <c r="B92" s="758" t="s">
        <v>3186</v>
      </c>
      <c r="C92" s="758" t="s">
        <v>134</v>
      </c>
      <c r="D92" s="758" t="s">
        <v>101</v>
      </c>
    </row>
    <row r="93" spans="1:4">
      <c r="A93" s="764">
        <v>90</v>
      </c>
      <c r="B93" s="758" t="s">
        <v>1192</v>
      </c>
      <c r="C93" s="758" t="s">
        <v>134</v>
      </c>
      <c r="D93" s="758" t="s">
        <v>101</v>
      </c>
    </row>
    <row r="94" spans="1:4">
      <c r="A94" s="764">
        <v>91</v>
      </c>
      <c r="B94" s="758" t="s">
        <v>1192</v>
      </c>
      <c r="C94" s="758" t="s">
        <v>134</v>
      </c>
      <c r="D94" s="758" t="s">
        <v>98</v>
      </c>
    </row>
    <row r="95" spans="1:4">
      <c r="A95" s="764">
        <v>92</v>
      </c>
      <c r="B95" s="758" t="s">
        <v>1192</v>
      </c>
      <c r="C95" s="758" t="s">
        <v>134</v>
      </c>
      <c r="D95" s="758" t="s">
        <v>85</v>
      </c>
    </row>
    <row r="96" spans="1:4">
      <c r="A96" s="764">
        <v>93</v>
      </c>
      <c r="B96" s="758" t="s">
        <v>3553</v>
      </c>
      <c r="C96" s="758" t="s">
        <v>134</v>
      </c>
      <c r="D96" s="758" t="s">
        <v>85</v>
      </c>
    </row>
    <row r="97" spans="1:4">
      <c r="A97" s="764">
        <v>94</v>
      </c>
      <c r="B97" s="758" t="s">
        <v>3559</v>
      </c>
      <c r="C97" s="758" t="s">
        <v>134</v>
      </c>
      <c r="D97" s="758" t="s">
        <v>85</v>
      </c>
    </row>
    <row r="98" spans="1:4">
      <c r="A98" s="764">
        <v>95</v>
      </c>
      <c r="B98" s="758" t="s">
        <v>3271</v>
      </c>
      <c r="C98" s="758" t="s">
        <v>134</v>
      </c>
      <c r="D98" s="758" t="s">
        <v>98</v>
      </c>
    </row>
    <row r="99" spans="1:4">
      <c r="A99" s="764">
        <v>96</v>
      </c>
      <c r="B99" s="758" t="s">
        <v>3271</v>
      </c>
      <c r="C99" s="758" t="s">
        <v>134</v>
      </c>
      <c r="D99" s="758" t="s">
        <v>85</v>
      </c>
    </row>
    <row r="100" spans="1:4">
      <c r="A100" s="764">
        <v>97</v>
      </c>
      <c r="B100" s="758" t="s">
        <v>3560</v>
      </c>
      <c r="C100" s="758" t="s">
        <v>134</v>
      </c>
      <c r="D100" s="758" t="s">
        <v>101</v>
      </c>
    </row>
    <row r="101" spans="1:4">
      <c r="A101" s="764">
        <v>98</v>
      </c>
      <c r="B101" s="758" t="s">
        <v>3560</v>
      </c>
      <c r="C101" s="758" t="s">
        <v>134</v>
      </c>
      <c r="D101" s="758" t="s">
        <v>85</v>
      </c>
    </row>
    <row r="102" spans="1:4">
      <c r="A102" s="764">
        <v>99</v>
      </c>
      <c r="B102" s="758" t="s">
        <v>3564</v>
      </c>
      <c r="C102" s="758" t="s">
        <v>134</v>
      </c>
      <c r="D102" s="758" t="s">
        <v>101</v>
      </c>
    </row>
    <row r="103" spans="1:4">
      <c r="A103" s="764">
        <v>100</v>
      </c>
      <c r="B103" s="758" t="s">
        <v>3564</v>
      </c>
      <c r="C103" s="758" t="s">
        <v>134</v>
      </c>
      <c r="D103" s="758" t="s">
        <v>85</v>
      </c>
    </row>
    <row r="104" spans="1:4">
      <c r="A104" s="764">
        <v>101</v>
      </c>
      <c r="B104" s="758" t="s">
        <v>3567</v>
      </c>
      <c r="C104" s="758" t="s">
        <v>134</v>
      </c>
      <c r="D104" s="758" t="s">
        <v>85</v>
      </c>
    </row>
    <row r="105" spans="1:4">
      <c r="A105" s="764">
        <v>102</v>
      </c>
      <c r="B105" s="758" t="s">
        <v>3574</v>
      </c>
      <c r="C105" s="758" t="s">
        <v>134</v>
      </c>
      <c r="D105" s="758" t="s">
        <v>85</v>
      </c>
    </row>
    <row r="106" spans="1:4">
      <c r="A106" s="764">
        <v>103</v>
      </c>
      <c r="B106" s="758" t="s">
        <v>3579</v>
      </c>
      <c r="C106" s="758" t="s">
        <v>134</v>
      </c>
      <c r="D106" s="758" t="s">
        <v>85</v>
      </c>
    </row>
    <row r="107" spans="1:4">
      <c r="A107" s="764">
        <v>104</v>
      </c>
      <c r="B107" s="758" t="s">
        <v>3164</v>
      </c>
      <c r="C107" s="758" t="s">
        <v>134</v>
      </c>
      <c r="D107" s="758" t="s">
        <v>101</v>
      </c>
    </row>
    <row r="108" spans="1:4">
      <c r="A108" s="764">
        <v>105</v>
      </c>
      <c r="B108" s="758" t="s">
        <v>3164</v>
      </c>
      <c r="C108" s="758" t="s">
        <v>134</v>
      </c>
      <c r="D108" s="758" t="s">
        <v>98</v>
      </c>
    </row>
    <row r="109" spans="1:4">
      <c r="A109" s="764">
        <v>106</v>
      </c>
      <c r="B109" s="758" t="s">
        <v>3164</v>
      </c>
      <c r="C109" s="758" t="s">
        <v>134</v>
      </c>
      <c r="D109" s="758" t="s">
        <v>85</v>
      </c>
    </row>
    <row r="110" spans="1:4">
      <c r="A110" s="764">
        <v>107</v>
      </c>
      <c r="B110" s="758" t="s">
        <v>3118</v>
      </c>
      <c r="C110" s="758" t="s">
        <v>134</v>
      </c>
      <c r="D110" s="758" t="s">
        <v>101</v>
      </c>
    </row>
    <row r="111" spans="1:4">
      <c r="A111" s="764">
        <v>108</v>
      </c>
      <c r="B111" s="758" t="s">
        <v>3118</v>
      </c>
      <c r="C111" s="758" t="s">
        <v>134</v>
      </c>
      <c r="D111" s="758" t="s">
        <v>85</v>
      </c>
    </row>
    <row r="112" spans="1:4">
      <c r="A112" s="764">
        <v>109</v>
      </c>
      <c r="B112" s="758" t="s">
        <v>3586</v>
      </c>
      <c r="C112" s="758" t="s">
        <v>134</v>
      </c>
      <c r="D112" s="758" t="s">
        <v>101</v>
      </c>
    </row>
    <row r="113" spans="1:4">
      <c r="A113" s="764">
        <v>110</v>
      </c>
      <c r="B113" s="758" t="s">
        <v>3586</v>
      </c>
      <c r="C113" s="758" t="s">
        <v>134</v>
      </c>
      <c r="D113" s="758" t="s">
        <v>85</v>
      </c>
    </row>
    <row r="114" spans="1:4">
      <c r="A114" s="764">
        <v>111</v>
      </c>
      <c r="B114" s="758" t="s">
        <v>3315</v>
      </c>
      <c r="C114" s="758" t="s">
        <v>134</v>
      </c>
      <c r="D114" s="758" t="s">
        <v>85</v>
      </c>
    </row>
    <row r="115" spans="1:4">
      <c r="A115" s="764">
        <v>112</v>
      </c>
      <c r="B115" s="758" t="s">
        <v>3315</v>
      </c>
      <c r="C115" s="758" t="s">
        <v>134</v>
      </c>
      <c r="D115" s="758" t="s">
        <v>101</v>
      </c>
    </row>
    <row r="116" spans="1:4">
      <c r="A116" s="764">
        <v>113</v>
      </c>
      <c r="B116" s="758" t="s">
        <v>100</v>
      </c>
      <c r="C116" s="758" t="s">
        <v>89</v>
      </c>
      <c r="D116" s="758" t="s">
        <v>101</v>
      </c>
    </row>
    <row r="117" spans="1:4">
      <c r="A117" s="764">
        <v>114</v>
      </c>
      <c r="B117" s="758" t="s">
        <v>100</v>
      </c>
      <c r="C117" s="758" t="s">
        <v>89</v>
      </c>
      <c r="D117" s="758" t="s">
        <v>98</v>
      </c>
    </row>
    <row r="118" spans="1:4">
      <c r="A118" s="764">
        <v>115</v>
      </c>
      <c r="B118" s="758" t="s">
        <v>100</v>
      </c>
      <c r="C118" s="758" t="s">
        <v>89</v>
      </c>
      <c r="D118" s="758" t="s">
        <v>104</v>
      </c>
    </row>
    <row r="119" spans="1:4">
      <c r="A119" s="764">
        <v>116</v>
      </c>
      <c r="B119" s="758" t="s">
        <v>100</v>
      </c>
      <c r="C119" s="758" t="s">
        <v>89</v>
      </c>
      <c r="D119" s="758" t="s">
        <v>105</v>
      </c>
    </row>
    <row r="120" spans="1:4">
      <c r="A120" s="764">
        <v>117</v>
      </c>
      <c r="B120" s="758" t="s">
        <v>100</v>
      </c>
      <c r="C120" s="758" t="s">
        <v>89</v>
      </c>
      <c r="D120" s="758" t="s">
        <v>85</v>
      </c>
    </row>
    <row r="121" spans="1:4">
      <c r="A121" s="764">
        <v>118</v>
      </c>
      <c r="B121" s="758" t="s">
        <v>108</v>
      </c>
      <c r="C121" s="758" t="s">
        <v>89</v>
      </c>
      <c r="D121" s="758" t="s">
        <v>101</v>
      </c>
    </row>
    <row r="122" spans="1:4">
      <c r="A122" s="764">
        <v>119</v>
      </c>
      <c r="B122" s="758" t="s">
        <v>108</v>
      </c>
      <c r="C122" s="758" t="s">
        <v>89</v>
      </c>
      <c r="D122" s="758" t="s">
        <v>85</v>
      </c>
    </row>
    <row r="123" spans="1:4">
      <c r="A123" s="764">
        <v>120</v>
      </c>
      <c r="B123" s="758" t="s">
        <v>125</v>
      </c>
      <c r="C123" s="758" t="s">
        <v>89</v>
      </c>
      <c r="D123" s="758" t="s">
        <v>85</v>
      </c>
    </row>
    <row r="124" spans="1:4">
      <c r="A124" s="764">
        <v>121</v>
      </c>
      <c r="B124" s="758" t="s">
        <v>125</v>
      </c>
      <c r="C124" s="758" t="s">
        <v>89</v>
      </c>
      <c r="D124" s="758" t="s">
        <v>101</v>
      </c>
    </row>
    <row r="125" spans="1:4">
      <c r="A125" s="764">
        <v>122</v>
      </c>
      <c r="B125" s="758" t="s">
        <v>106</v>
      </c>
      <c r="C125" s="758" t="s">
        <v>89</v>
      </c>
      <c r="D125" s="758" t="s">
        <v>85</v>
      </c>
    </row>
    <row r="126" spans="1:4">
      <c r="A126" s="764">
        <v>123</v>
      </c>
      <c r="B126" s="758" t="s">
        <v>3253</v>
      </c>
      <c r="C126" s="758" t="s">
        <v>89</v>
      </c>
      <c r="D126" s="758" t="s">
        <v>101</v>
      </c>
    </row>
    <row r="127" spans="1:4">
      <c r="A127" s="764">
        <v>124</v>
      </c>
      <c r="B127" s="758" t="s">
        <v>3253</v>
      </c>
      <c r="C127" s="758" t="s">
        <v>89</v>
      </c>
      <c r="D127" s="758" t="s">
        <v>85</v>
      </c>
    </row>
    <row r="128" spans="1:4">
      <c r="A128" s="764">
        <v>125</v>
      </c>
      <c r="B128" s="758" t="s">
        <v>3184</v>
      </c>
      <c r="C128" s="758" t="s">
        <v>89</v>
      </c>
      <c r="D128" s="758" t="s">
        <v>105</v>
      </c>
    </row>
    <row r="129" spans="1:4">
      <c r="A129" s="764">
        <v>126</v>
      </c>
      <c r="B129" s="758" t="s">
        <v>3184</v>
      </c>
      <c r="C129" s="758" t="s">
        <v>89</v>
      </c>
      <c r="D129" s="758" t="s">
        <v>104</v>
      </c>
    </row>
    <row r="130" spans="1:4">
      <c r="A130" s="764">
        <v>127</v>
      </c>
      <c r="B130" s="758" t="s">
        <v>3184</v>
      </c>
      <c r="C130" s="758" t="s">
        <v>89</v>
      </c>
      <c r="D130" s="758" t="s">
        <v>101</v>
      </c>
    </row>
    <row r="131" spans="1:4">
      <c r="A131" s="764">
        <v>128</v>
      </c>
      <c r="B131" s="758" t="s">
        <v>3184</v>
      </c>
      <c r="C131" s="758" t="s">
        <v>89</v>
      </c>
      <c r="D131" s="758" t="s">
        <v>85</v>
      </c>
    </row>
    <row r="132" spans="1:4">
      <c r="A132" s="764">
        <v>129</v>
      </c>
      <c r="B132" s="758" t="s">
        <v>3195</v>
      </c>
      <c r="C132" s="758" t="s">
        <v>89</v>
      </c>
      <c r="D132" s="758" t="s">
        <v>101</v>
      </c>
    </row>
    <row r="133" spans="1:4">
      <c r="A133" s="764">
        <v>130</v>
      </c>
      <c r="B133" s="758" t="s">
        <v>3195</v>
      </c>
      <c r="C133" s="758" t="s">
        <v>89</v>
      </c>
      <c r="D133" s="758" t="s">
        <v>85</v>
      </c>
    </row>
    <row r="134" spans="1:4">
      <c r="A134" s="764">
        <v>131</v>
      </c>
      <c r="B134" s="758" t="s">
        <v>117</v>
      </c>
      <c r="C134" s="758" t="s">
        <v>89</v>
      </c>
      <c r="D134" s="758" t="s">
        <v>85</v>
      </c>
    </row>
    <row r="135" spans="1:4">
      <c r="A135" s="764">
        <v>132</v>
      </c>
      <c r="B135" s="758" t="s">
        <v>88</v>
      </c>
      <c r="C135" s="758" t="s">
        <v>89</v>
      </c>
      <c r="D135" s="758" t="s">
        <v>85</v>
      </c>
    </row>
    <row r="136" spans="1:4">
      <c r="A136" s="764">
        <v>133</v>
      </c>
      <c r="B136" s="758" t="s">
        <v>3552</v>
      </c>
      <c r="C136" s="758" t="s">
        <v>89</v>
      </c>
      <c r="D136" s="758" t="s">
        <v>85</v>
      </c>
    </row>
    <row r="137" spans="1:4">
      <c r="A137" s="764">
        <v>134</v>
      </c>
      <c r="B137" s="758" t="s">
        <v>3262</v>
      </c>
      <c r="C137" s="758" t="s">
        <v>89</v>
      </c>
      <c r="D137" s="758" t="s">
        <v>99</v>
      </c>
    </row>
    <row r="138" spans="1:4">
      <c r="A138" s="764">
        <v>135</v>
      </c>
      <c r="B138" s="758" t="s">
        <v>3262</v>
      </c>
      <c r="C138" s="758" t="s">
        <v>89</v>
      </c>
      <c r="D138" s="758" t="s">
        <v>85</v>
      </c>
    </row>
    <row r="139" spans="1:4">
      <c r="A139" s="764">
        <v>136</v>
      </c>
      <c r="B139" s="758" t="s">
        <v>3196</v>
      </c>
      <c r="C139" s="758" t="s">
        <v>89</v>
      </c>
      <c r="D139" s="758" t="s">
        <v>101</v>
      </c>
    </row>
    <row r="140" spans="1:4">
      <c r="A140" s="764">
        <v>137</v>
      </c>
      <c r="B140" s="758" t="s">
        <v>3196</v>
      </c>
      <c r="C140" s="758" t="s">
        <v>89</v>
      </c>
      <c r="D140" s="758" t="s">
        <v>99</v>
      </c>
    </row>
    <row r="141" spans="1:4">
      <c r="A141" s="764">
        <v>138</v>
      </c>
      <c r="B141" s="758" t="s">
        <v>3196</v>
      </c>
      <c r="C141" s="758" t="s">
        <v>89</v>
      </c>
      <c r="D141" s="758" t="s">
        <v>85</v>
      </c>
    </row>
    <row r="142" spans="1:4">
      <c r="A142" s="764">
        <v>139</v>
      </c>
      <c r="B142" s="758" t="s">
        <v>3563</v>
      </c>
      <c r="C142" s="758" t="s">
        <v>89</v>
      </c>
      <c r="D142" s="758" t="s">
        <v>85</v>
      </c>
    </row>
    <row r="143" spans="1:4">
      <c r="A143" s="764">
        <v>140</v>
      </c>
      <c r="B143" s="758" t="s">
        <v>3565</v>
      </c>
      <c r="C143" s="758" t="s">
        <v>89</v>
      </c>
      <c r="D143" s="758" t="s">
        <v>101</v>
      </c>
    </row>
    <row r="144" spans="1:4">
      <c r="A144" s="764">
        <v>141</v>
      </c>
      <c r="B144" s="758" t="s">
        <v>3565</v>
      </c>
      <c r="C144" s="758" t="s">
        <v>89</v>
      </c>
      <c r="D144" s="758" t="s">
        <v>85</v>
      </c>
    </row>
    <row r="145" spans="1:4">
      <c r="A145" s="764">
        <v>142</v>
      </c>
      <c r="B145" s="758" t="s">
        <v>3569</v>
      </c>
      <c r="C145" s="758" t="s">
        <v>89</v>
      </c>
      <c r="D145" s="758" t="s">
        <v>85</v>
      </c>
    </row>
    <row r="146" spans="1:4">
      <c r="A146" s="764">
        <v>143</v>
      </c>
      <c r="B146" s="758" t="s">
        <v>3570</v>
      </c>
      <c r="C146" s="758" t="s">
        <v>89</v>
      </c>
      <c r="D146" s="758" t="s">
        <v>85</v>
      </c>
    </row>
    <row r="147" spans="1:4">
      <c r="A147" s="764">
        <v>144</v>
      </c>
      <c r="B147" s="758" t="s">
        <v>122</v>
      </c>
      <c r="C147" s="758" t="s">
        <v>89</v>
      </c>
      <c r="D147" s="758" t="s">
        <v>85</v>
      </c>
    </row>
    <row r="148" spans="1:4">
      <c r="A148" s="764">
        <v>145</v>
      </c>
      <c r="B148" s="758" t="s">
        <v>110</v>
      </c>
      <c r="C148" s="758" t="s">
        <v>89</v>
      </c>
      <c r="D148" s="758" t="s">
        <v>85</v>
      </c>
    </row>
    <row r="149" spans="1:4">
      <c r="A149" s="764">
        <v>146</v>
      </c>
      <c r="B149" s="758" t="s">
        <v>3573</v>
      </c>
      <c r="C149" s="758" t="s">
        <v>89</v>
      </c>
      <c r="D149" s="758" t="s">
        <v>101</v>
      </c>
    </row>
    <row r="150" spans="1:4">
      <c r="A150" s="764">
        <v>147</v>
      </c>
      <c r="B150" s="758" t="s">
        <v>3573</v>
      </c>
      <c r="C150" s="758" t="s">
        <v>89</v>
      </c>
      <c r="D150" s="758" t="s">
        <v>85</v>
      </c>
    </row>
    <row r="151" spans="1:4">
      <c r="A151" s="764">
        <v>148</v>
      </c>
      <c r="B151" s="758" t="s">
        <v>3576</v>
      </c>
      <c r="C151" s="758" t="s">
        <v>89</v>
      </c>
      <c r="D151" s="758" t="s">
        <v>85</v>
      </c>
    </row>
    <row r="152" spans="1:4">
      <c r="A152" s="764">
        <v>149</v>
      </c>
      <c r="B152" s="758" t="s">
        <v>112</v>
      </c>
      <c r="C152" s="758" t="s">
        <v>89</v>
      </c>
      <c r="D152" s="758" t="s">
        <v>85</v>
      </c>
    </row>
    <row r="153" spans="1:4">
      <c r="A153" s="764">
        <v>150</v>
      </c>
      <c r="B153" s="758" t="s">
        <v>3581</v>
      </c>
      <c r="C153" s="758" t="s">
        <v>89</v>
      </c>
      <c r="D153" s="758" t="s">
        <v>85</v>
      </c>
    </row>
    <row r="154" spans="1:4">
      <c r="A154" s="764">
        <v>151</v>
      </c>
      <c r="B154" s="758" t="s">
        <v>114</v>
      </c>
      <c r="C154" s="758" t="s">
        <v>89</v>
      </c>
      <c r="D154" s="758" t="s">
        <v>101</v>
      </c>
    </row>
    <row r="155" spans="1:4">
      <c r="A155" s="764">
        <v>152</v>
      </c>
      <c r="B155" s="758" t="s">
        <v>114</v>
      </c>
      <c r="C155" s="758" t="s">
        <v>89</v>
      </c>
      <c r="D155" s="758" t="s">
        <v>99</v>
      </c>
    </row>
    <row r="156" spans="1:4">
      <c r="A156" s="764">
        <v>153</v>
      </c>
      <c r="B156" s="758" t="s">
        <v>114</v>
      </c>
      <c r="C156" s="758" t="s">
        <v>89</v>
      </c>
      <c r="D156" s="758" t="s">
        <v>85</v>
      </c>
    </row>
    <row r="157" spans="1:4">
      <c r="A157" s="764">
        <v>154</v>
      </c>
      <c r="B157" s="758" t="s">
        <v>3587</v>
      </c>
      <c r="C157" s="758" t="s">
        <v>89</v>
      </c>
      <c r="D157" s="758" t="s">
        <v>85</v>
      </c>
    </row>
    <row r="158" spans="1:4">
      <c r="A158" s="764">
        <v>155</v>
      </c>
      <c r="B158" s="758" t="s">
        <v>3590</v>
      </c>
      <c r="C158" s="758" t="s">
        <v>89</v>
      </c>
      <c r="D158" s="758" t="s">
        <v>85</v>
      </c>
    </row>
    <row r="159" spans="1:4">
      <c r="A159" s="764">
        <v>156</v>
      </c>
      <c r="B159" s="758" t="s">
        <v>3265</v>
      </c>
      <c r="C159" s="758" t="s">
        <v>89</v>
      </c>
      <c r="D159" s="758" t="s">
        <v>101</v>
      </c>
    </row>
    <row r="160" spans="1:4">
      <c r="A160" s="764">
        <v>157</v>
      </c>
      <c r="B160" s="758" t="s">
        <v>3265</v>
      </c>
      <c r="C160" s="758" t="s">
        <v>89</v>
      </c>
      <c r="D160" s="758" t="s">
        <v>3268</v>
      </c>
    </row>
    <row r="161" spans="1:4">
      <c r="A161" s="764">
        <v>158</v>
      </c>
      <c r="B161" s="758" t="s">
        <v>176</v>
      </c>
      <c r="C161" s="758" t="s">
        <v>89</v>
      </c>
      <c r="D161" s="758" t="s">
        <v>3268</v>
      </c>
    </row>
    <row r="162" spans="1:4">
      <c r="A162" s="764">
        <v>159</v>
      </c>
      <c r="B162" s="758" t="s">
        <v>178</v>
      </c>
      <c r="C162" s="758" t="s">
        <v>89</v>
      </c>
      <c r="D162" s="758" t="s">
        <v>3268</v>
      </c>
    </row>
    <row r="163" spans="1:4">
      <c r="A163" s="764">
        <v>160</v>
      </c>
      <c r="B163" s="758" t="s">
        <v>3530</v>
      </c>
      <c r="C163" s="758" t="s">
        <v>73</v>
      </c>
      <c r="D163" s="758" t="s">
        <v>85</v>
      </c>
    </row>
    <row r="164" spans="1:4">
      <c r="A164" s="764">
        <v>161</v>
      </c>
      <c r="B164" s="758" t="s">
        <v>72</v>
      </c>
      <c r="C164" s="758" t="s">
        <v>73</v>
      </c>
      <c r="D164" s="758" t="s">
        <v>101</v>
      </c>
    </row>
    <row r="165" spans="1:4">
      <c r="A165" s="764">
        <v>162</v>
      </c>
      <c r="B165" s="758" t="s">
        <v>72</v>
      </c>
      <c r="C165" s="758" t="s">
        <v>73</v>
      </c>
      <c r="D165" s="758" t="s">
        <v>85</v>
      </c>
    </row>
    <row r="166" spans="1:4">
      <c r="A166" s="764">
        <v>163</v>
      </c>
      <c r="B166" s="758" t="s">
        <v>3555</v>
      </c>
      <c r="C166" s="758" t="s">
        <v>73</v>
      </c>
      <c r="D166" s="758" t="s">
        <v>85</v>
      </c>
    </row>
    <row r="167" spans="1:4">
      <c r="A167" s="764">
        <v>164</v>
      </c>
      <c r="B167" s="758" t="s">
        <v>154</v>
      </c>
      <c r="C167" s="758" t="s">
        <v>73</v>
      </c>
      <c r="D167" s="758" t="s">
        <v>101</v>
      </c>
    </row>
    <row r="168" spans="1:4">
      <c r="A168" s="764">
        <v>165</v>
      </c>
      <c r="B168" s="758" t="s">
        <v>154</v>
      </c>
      <c r="C168" s="758" t="s">
        <v>73</v>
      </c>
      <c r="D168" s="758" t="s">
        <v>104</v>
      </c>
    </row>
    <row r="169" spans="1:4">
      <c r="A169" s="764">
        <v>166</v>
      </c>
      <c r="B169" s="758" t="s">
        <v>154</v>
      </c>
      <c r="C169" s="758" t="s">
        <v>73</v>
      </c>
      <c r="D169" s="758" t="s">
        <v>105</v>
      </c>
    </row>
    <row r="170" spans="1:4">
      <c r="A170" s="764">
        <v>167</v>
      </c>
      <c r="B170" s="758" t="s">
        <v>154</v>
      </c>
      <c r="C170" s="758" t="s">
        <v>73</v>
      </c>
      <c r="D170" s="758" t="s">
        <v>85</v>
      </c>
    </row>
    <row r="171" spans="1:4">
      <c r="A171" s="764">
        <v>168</v>
      </c>
      <c r="B171" s="758" t="s">
        <v>154</v>
      </c>
      <c r="C171" s="758" t="s">
        <v>73</v>
      </c>
      <c r="D171" s="758" t="s">
        <v>98</v>
      </c>
    </row>
    <row r="172" spans="1:4">
      <c r="A172" s="764">
        <v>169</v>
      </c>
      <c r="B172" s="758" t="s">
        <v>3591</v>
      </c>
      <c r="C172" s="758" t="s">
        <v>73</v>
      </c>
      <c r="D172" s="758" t="s">
        <v>3268</v>
      </c>
    </row>
    <row r="173" spans="1:4">
      <c r="A173" s="764">
        <v>170</v>
      </c>
      <c r="B173" s="758" t="s">
        <v>3301</v>
      </c>
      <c r="C173" s="758" t="s">
        <v>73</v>
      </c>
      <c r="D173" s="758" t="s">
        <v>3268</v>
      </c>
    </row>
    <row r="174" spans="1:4">
      <c r="A174" s="764">
        <v>171</v>
      </c>
      <c r="B174" s="758" t="s">
        <v>3533</v>
      </c>
      <c r="C174" s="758" t="s">
        <v>3205</v>
      </c>
      <c r="D174" s="758" t="s">
        <v>85</v>
      </c>
    </row>
    <row r="175" spans="1:4">
      <c r="A175" s="764">
        <v>172</v>
      </c>
      <c r="B175" s="758" t="s">
        <v>3534</v>
      </c>
      <c r="C175" s="758" t="s">
        <v>3205</v>
      </c>
      <c r="D175" s="758" t="s">
        <v>101</v>
      </c>
    </row>
    <row r="176" spans="1:4">
      <c r="A176" s="764">
        <v>173</v>
      </c>
      <c r="B176" s="758" t="s">
        <v>3536</v>
      </c>
      <c r="C176" s="758" t="s">
        <v>3205</v>
      </c>
      <c r="D176" s="758" t="s">
        <v>98</v>
      </c>
    </row>
    <row r="177" spans="1:4">
      <c r="A177" s="764">
        <v>174</v>
      </c>
      <c r="B177" s="758" t="s">
        <v>3536</v>
      </c>
      <c r="C177" s="758" t="s">
        <v>3205</v>
      </c>
      <c r="D177" s="758" t="s">
        <v>3268</v>
      </c>
    </row>
    <row r="178" spans="1:4">
      <c r="A178" s="764">
        <v>175</v>
      </c>
      <c r="B178" s="758" t="s">
        <v>3233</v>
      </c>
      <c r="C178" s="758" t="s">
        <v>3205</v>
      </c>
      <c r="D178" s="758" t="s">
        <v>3268</v>
      </c>
    </row>
    <row r="179" spans="1:4">
      <c r="A179" s="764">
        <v>176</v>
      </c>
      <c r="B179" s="758" t="s">
        <v>3543</v>
      </c>
      <c r="C179" s="758" t="s">
        <v>3596</v>
      </c>
      <c r="D179" s="758" t="s">
        <v>85</v>
      </c>
    </row>
    <row r="180" spans="1:4">
      <c r="A180" s="764">
        <v>177</v>
      </c>
      <c r="B180" s="758" t="s">
        <v>173</v>
      </c>
      <c r="C180" s="758" t="s">
        <v>172</v>
      </c>
      <c r="D180" s="758" t="s">
        <v>3268</v>
      </c>
    </row>
    <row r="181" spans="1:4">
      <c r="A181" s="764">
        <v>178</v>
      </c>
      <c r="B181" s="758" t="s">
        <v>83</v>
      </c>
      <c r="C181" s="758" t="s">
        <v>84</v>
      </c>
      <c r="D181" s="758" t="s">
        <v>101</v>
      </c>
    </row>
    <row r="182" spans="1:4">
      <c r="A182" s="764">
        <v>179</v>
      </c>
      <c r="B182" s="758" t="s">
        <v>83</v>
      </c>
      <c r="C182" s="758" t="s">
        <v>84</v>
      </c>
      <c r="D182" s="758" t="s">
        <v>98</v>
      </c>
    </row>
    <row r="183" spans="1:4">
      <c r="A183" s="764">
        <v>180</v>
      </c>
      <c r="B183" s="758" t="s">
        <v>83</v>
      </c>
      <c r="C183" s="758" t="s">
        <v>84</v>
      </c>
      <c r="D183" s="758" t="s">
        <v>85</v>
      </c>
    </row>
  </sheetData>
  <mergeCells count="1">
    <mergeCell ref="A2:D2"/>
  </mergeCells>
  <phoneticPr fontId="92" type="noConversion"/>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dimension ref="A1:AQ43"/>
  <sheetViews>
    <sheetView topLeftCell="A16" zoomScale="98" zoomScaleNormal="98" workbookViewId="0">
      <pane xSplit="4" topLeftCell="AC1" activePane="topRight" state="frozen"/>
      <selection pane="topRight" activeCell="A35" sqref="A35"/>
    </sheetView>
  </sheetViews>
  <sheetFormatPr defaultColWidth="36.875" defaultRowHeight="14.25"/>
  <cols>
    <col min="1" max="1" width="12" style="316" customWidth="1"/>
    <col min="2" max="2" width="30" style="317" customWidth="1"/>
    <col min="3" max="3" width="19.625" style="318" customWidth="1"/>
    <col min="4" max="4" width="36.875" style="319" customWidth="1"/>
    <col min="5" max="5" width="36.875" style="316" customWidth="1"/>
    <col min="6" max="6" width="40.5" style="316" customWidth="1"/>
    <col min="7" max="20" width="36.875" style="316" customWidth="1"/>
    <col min="21" max="28" width="36.875" style="320" customWidth="1"/>
    <col min="29" max="29" width="36.875" style="321" customWidth="1"/>
    <col min="30" max="31" width="36.875" style="320" customWidth="1"/>
    <col min="32" max="38" width="36.875" style="321" customWidth="1"/>
    <col min="39" max="39" width="36.875" style="317" customWidth="1"/>
    <col min="40" max="40" width="36.875" style="318" customWidth="1"/>
    <col min="41" max="41" width="36.875" style="316" customWidth="1"/>
    <col min="42" max="16384" width="36.875" style="316"/>
  </cols>
  <sheetData>
    <row r="1" spans="1:43" s="311" customFormat="1" ht="9.9499999999999993" customHeight="1">
      <c r="B1" s="817" t="s">
        <v>45</v>
      </c>
      <c r="C1" s="818"/>
      <c r="D1" s="819"/>
      <c r="E1" s="820"/>
      <c r="F1" s="820"/>
      <c r="G1" s="820"/>
      <c r="H1" s="820"/>
      <c r="I1" s="820"/>
      <c r="J1" s="820"/>
      <c r="K1" s="820"/>
      <c r="L1" s="820"/>
      <c r="M1" s="820"/>
      <c r="N1" s="820"/>
      <c r="O1" s="820"/>
      <c r="P1" s="820"/>
      <c r="Q1" s="820"/>
      <c r="R1" s="820"/>
      <c r="S1" s="820"/>
      <c r="T1" s="820"/>
      <c r="U1" s="821"/>
      <c r="V1" s="821"/>
      <c r="W1" s="821"/>
      <c r="X1" s="821"/>
      <c r="Y1" s="821"/>
      <c r="Z1" s="821"/>
      <c r="AA1" s="821"/>
      <c r="AB1" s="821"/>
      <c r="AC1" s="822"/>
      <c r="AD1" s="821"/>
      <c r="AE1" s="821"/>
      <c r="AF1" s="822"/>
      <c r="AG1" s="822"/>
      <c r="AH1" s="822"/>
      <c r="AI1" s="822"/>
      <c r="AJ1" s="822"/>
      <c r="AK1" s="822"/>
      <c r="AL1" s="822"/>
      <c r="AM1" s="817"/>
      <c r="AN1" s="818"/>
    </row>
    <row r="2" spans="1:43" s="311" customFormat="1" ht="9.9499999999999993" customHeight="1">
      <c r="B2" s="817"/>
      <c r="C2" s="818"/>
      <c r="D2" s="819"/>
      <c r="E2" s="820"/>
      <c r="F2" s="820"/>
      <c r="G2" s="820"/>
      <c r="H2" s="820"/>
      <c r="I2" s="820"/>
      <c r="J2" s="820"/>
      <c r="K2" s="820"/>
      <c r="L2" s="820"/>
      <c r="M2" s="820"/>
      <c r="N2" s="820"/>
      <c r="O2" s="820"/>
      <c r="P2" s="820"/>
      <c r="Q2" s="820"/>
      <c r="R2" s="820"/>
      <c r="S2" s="820"/>
      <c r="T2" s="820"/>
      <c r="U2" s="821"/>
      <c r="V2" s="821"/>
      <c r="W2" s="821"/>
      <c r="X2" s="821"/>
      <c r="Y2" s="821"/>
      <c r="Z2" s="821"/>
      <c r="AA2" s="821"/>
      <c r="AB2" s="821"/>
      <c r="AC2" s="822"/>
      <c r="AD2" s="821"/>
      <c r="AE2" s="821"/>
      <c r="AF2" s="822"/>
      <c r="AG2" s="822"/>
      <c r="AH2" s="822"/>
      <c r="AI2" s="822"/>
      <c r="AJ2" s="822"/>
      <c r="AK2" s="822"/>
      <c r="AL2" s="822"/>
      <c r="AM2" s="817"/>
      <c r="AN2" s="818"/>
    </row>
    <row r="3" spans="1:43" s="311" customFormat="1" ht="18.95" customHeight="1">
      <c r="B3" s="817"/>
      <c r="C3" s="818"/>
      <c r="D3" s="819"/>
      <c r="E3" s="820"/>
      <c r="F3" s="820"/>
      <c r="G3" s="820"/>
      <c r="H3" s="820"/>
      <c r="I3" s="820"/>
      <c r="J3" s="820"/>
      <c r="K3" s="820"/>
      <c r="L3" s="820"/>
      <c r="M3" s="820"/>
      <c r="N3" s="820"/>
      <c r="O3" s="820"/>
      <c r="P3" s="820"/>
      <c r="Q3" s="820"/>
      <c r="R3" s="820"/>
      <c r="S3" s="820"/>
      <c r="T3" s="820"/>
      <c r="U3" s="821"/>
      <c r="V3" s="821"/>
      <c r="W3" s="821"/>
      <c r="X3" s="821"/>
      <c r="Y3" s="821"/>
      <c r="Z3" s="821"/>
      <c r="AA3" s="821"/>
      <c r="AB3" s="821"/>
      <c r="AC3" s="822"/>
      <c r="AD3" s="821"/>
      <c r="AE3" s="821"/>
      <c r="AF3" s="822"/>
      <c r="AG3" s="822"/>
      <c r="AH3" s="822"/>
      <c r="AI3" s="822"/>
      <c r="AJ3" s="822"/>
      <c r="AK3" s="822"/>
      <c r="AL3" s="822"/>
      <c r="AM3" s="817"/>
      <c r="AN3" s="818"/>
    </row>
    <row r="4" spans="1:43" s="315" customFormat="1" ht="12" customHeight="1">
      <c r="A4" s="799"/>
      <c r="B4" s="808" t="s">
        <v>46</v>
      </c>
      <c r="C4" s="809" t="s">
        <v>18</v>
      </c>
      <c r="D4" s="322" t="s">
        <v>3</v>
      </c>
      <c r="E4" s="812" t="s">
        <v>4</v>
      </c>
      <c r="F4" s="812"/>
      <c r="G4" s="812"/>
      <c r="H4" s="812"/>
      <c r="I4" s="812"/>
      <c r="J4" s="812"/>
      <c r="K4" s="812"/>
      <c r="L4" s="812"/>
      <c r="M4" s="812"/>
      <c r="N4" s="812"/>
      <c r="O4" s="812"/>
      <c r="P4" s="812"/>
      <c r="Q4" s="812"/>
      <c r="R4" s="813" t="s">
        <v>5</v>
      </c>
      <c r="S4" s="813"/>
      <c r="T4" s="813"/>
      <c r="U4" s="814" t="s">
        <v>6</v>
      </c>
      <c r="V4" s="814"/>
      <c r="W4" s="814"/>
      <c r="X4" s="814"/>
      <c r="Y4" s="814"/>
      <c r="Z4" s="814"/>
      <c r="AA4" s="814"/>
      <c r="AB4" s="814"/>
      <c r="AC4" s="815"/>
      <c r="AD4" s="826" t="s">
        <v>7</v>
      </c>
      <c r="AE4" s="827" t="s">
        <v>47</v>
      </c>
      <c r="AF4" s="828" t="s">
        <v>3059</v>
      </c>
      <c r="AG4" s="805" t="s">
        <v>3058</v>
      </c>
      <c r="AH4" s="805" t="s">
        <v>3060</v>
      </c>
      <c r="AI4" s="802" t="s">
        <v>3061</v>
      </c>
      <c r="AJ4" s="802" t="s">
        <v>3114</v>
      </c>
      <c r="AK4" s="805" t="s">
        <v>3115</v>
      </c>
      <c r="AL4" s="830" t="s">
        <v>48</v>
      </c>
      <c r="AM4" s="831" t="s">
        <v>12</v>
      </c>
      <c r="AN4" s="829" t="s">
        <v>13</v>
      </c>
    </row>
    <row r="5" spans="1:43" s="315" customFormat="1" ht="12" customHeight="1">
      <c r="A5" s="800"/>
      <c r="B5" s="808"/>
      <c r="C5" s="809"/>
      <c r="D5" s="798" t="s">
        <v>49</v>
      </c>
      <c r="E5" s="798" t="s">
        <v>50</v>
      </c>
      <c r="F5" s="798" t="s">
        <v>51</v>
      </c>
      <c r="G5" s="798" t="s">
        <v>52</v>
      </c>
      <c r="H5" s="798" t="s">
        <v>53</v>
      </c>
      <c r="I5" s="798" t="s">
        <v>54</v>
      </c>
      <c r="J5" s="798" t="s">
        <v>55</v>
      </c>
      <c r="K5" s="816" t="s">
        <v>56</v>
      </c>
      <c r="L5" s="816"/>
      <c r="M5" s="816"/>
      <c r="N5" s="816"/>
      <c r="O5" s="816"/>
      <c r="P5" s="816"/>
      <c r="Q5" s="816"/>
      <c r="R5" s="798" t="s">
        <v>57</v>
      </c>
      <c r="S5" s="798" t="s">
        <v>58</v>
      </c>
      <c r="T5" s="798" t="s">
        <v>59</v>
      </c>
      <c r="U5" s="811" t="s">
        <v>3094</v>
      </c>
      <c r="V5" s="810" t="s">
        <v>60</v>
      </c>
      <c r="W5" s="810" t="s">
        <v>61</v>
      </c>
      <c r="X5" s="811" t="s">
        <v>62</v>
      </c>
      <c r="Y5" s="811" t="s">
        <v>63</v>
      </c>
      <c r="Z5" s="811" t="s">
        <v>64</v>
      </c>
      <c r="AA5" s="823" t="s">
        <v>3071</v>
      </c>
      <c r="AB5" s="823" t="s">
        <v>3067</v>
      </c>
      <c r="AC5" s="825" t="s">
        <v>3057</v>
      </c>
      <c r="AD5" s="826"/>
      <c r="AE5" s="827"/>
      <c r="AF5" s="828"/>
      <c r="AG5" s="806"/>
      <c r="AH5" s="806"/>
      <c r="AI5" s="803"/>
      <c r="AJ5" s="803"/>
      <c r="AK5" s="806"/>
      <c r="AL5" s="830"/>
      <c r="AM5" s="831"/>
      <c r="AN5" s="829"/>
    </row>
    <row r="6" spans="1:43" s="315" customFormat="1" ht="36.950000000000003" customHeight="1">
      <c r="A6" s="801"/>
      <c r="B6" s="808"/>
      <c r="C6" s="809"/>
      <c r="D6" s="798"/>
      <c r="E6" s="798"/>
      <c r="F6" s="798"/>
      <c r="G6" s="798"/>
      <c r="H6" s="798"/>
      <c r="I6" s="798"/>
      <c r="J6" s="798"/>
      <c r="K6" s="323" t="s">
        <v>65</v>
      </c>
      <c r="L6" s="323" t="s">
        <v>66</v>
      </c>
      <c r="M6" s="323" t="s">
        <v>67</v>
      </c>
      <c r="N6" s="323" t="s">
        <v>68</v>
      </c>
      <c r="O6" s="323" t="s">
        <v>69</v>
      </c>
      <c r="P6" s="323" t="s">
        <v>70</v>
      </c>
      <c r="Q6" s="323" t="s">
        <v>71</v>
      </c>
      <c r="R6" s="798"/>
      <c r="S6" s="798"/>
      <c r="T6" s="798"/>
      <c r="U6" s="811"/>
      <c r="V6" s="810"/>
      <c r="W6" s="810"/>
      <c r="X6" s="811"/>
      <c r="Y6" s="811"/>
      <c r="Z6" s="811"/>
      <c r="AA6" s="824"/>
      <c r="AB6" s="824"/>
      <c r="AC6" s="825"/>
      <c r="AD6" s="826"/>
      <c r="AE6" s="827"/>
      <c r="AF6" s="828"/>
      <c r="AG6" s="807"/>
      <c r="AH6" s="807"/>
      <c r="AI6" s="804"/>
      <c r="AJ6" s="804"/>
      <c r="AK6" s="807"/>
      <c r="AL6" s="830"/>
      <c r="AM6" s="831"/>
      <c r="AN6" s="829"/>
    </row>
    <row r="7" spans="1:43" s="308" customFormat="1" ht="42.75">
      <c r="B7" s="309" t="s">
        <v>72</v>
      </c>
      <c r="C7" s="305" t="s">
        <v>73</v>
      </c>
      <c r="D7" s="307" t="s">
        <v>74</v>
      </c>
      <c r="E7" s="305" t="s">
        <v>75</v>
      </c>
      <c r="F7" s="305" t="s">
        <v>75</v>
      </c>
      <c r="G7" s="305" t="s">
        <v>75</v>
      </c>
      <c r="H7" s="305" t="s">
        <v>75</v>
      </c>
      <c r="I7" s="305" t="s">
        <v>75</v>
      </c>
      <c r="J7" s="313" t="s">
        <v>76</v>
      </c>
      <c r="K7" s="305" t="s">
        <v>75</v>
      </c>
      <c r="Q7" s="305"/>
      <c r="R7" s="305" t="s">
        <v>75</v>
      </c>
      <c r="U7" s="330" t="s">
        <v>77</v>
      </c>
      <c r="V7" s="331"/>
      <c r="W7" s="331"/>
      <c r="X7" s="331"/>
      <c r="Y7" s="331"/>
      <c r="Z7" s="331"/>
      <c r="AA7" s="331"/>
      <c r="AB7" s="331"/>
      <c r="AC7" s="314"/>
      <c r="AD7" s="314">
        <v>8</v>
      </c>
      <c r="AE7" s="314">
        <f>AD7/7.0795</f>
        <v>1.1300233067307013</v>
      </c>
      <c r="AF7" s="314">
        <v>0</v>
      </c>
      <c r="AG7" s="314"/>
      <c r="AH7" s="314"/>
      <c r="AI7" s="314"/>
      <c r="AJ7" s="314"/>
      <c r="AK7" s="314"/>
      <c r="AL7" s="314">
        <v>8</v>
      </c>
      <c r="AM7" s="337" t="s">
        <v>78</v>
      </c>
      <c r="AN7" s="313" t="s">
        <v>79</v>
      </c>
      <c r="AQ7" s="342"/>
    </row>
    <row r="8" spans="1:43" s="308" customFormat="1" ht="42.75">
      <c r="B8" s="309" t="s">
        <v>72</v>
      </c>
      <c r="C8" s="305" t="s">
        <v>73</v>
      </c>
      <c r="D8" s="307" t="s">
        <v>80</v>
      </c>
      <c r="E8" s="305" t="s">
        <v>75</v>
      </c>
      <c r="F8" s="305" t="s">
        <v>75</v>
      </c>
      <c r="G8" s="305" t="s">
        <v>75</v>
      </c>
      <c r="H8" s="305" t="s">
        <v>75</v>
      </c>
      <c r="I8" s="305" t="s">
        <v>75</v>
      </c>
      <c r="J8" s="313" t="s">
        <v>76</v>
      </c>
      <c r="Q8" s="305" t="s">
        <v>75</v>
      </c>
      <c r="R8" s="305" t="s">
        <v>75</v>
      </c>
      <c r="U8" s="331"/>
      <c r="V8" s="331"/>
      <c r="W8" s="331"/>
      <c r="X8" s="331"/>
      <c r="Y8" s="331"/>
      <c r="Z8" s="331"/>
      <c r="AA8" s="331"/>
      <c r="AB8" s="331"/>
      <c r="AC8" s="314">
        <f>402.522465*7.0795</f>
        <v>2849.6577909675002</v>
      </c>
      <c r="AD8" s="314">
        <f>425*7.0795</f>
        <v>3008.7875000000004</v>
      </c>
      <c r="AE8" s="314">
        <f>AD8/7.0795</f>
        <v>425.00000000000006</v>
      </c>
      <c r="AF8" s="314">
        <f>AD8-AC8</f>
        <v>159.12970903250016</v>
      </c>
      <c r="AG8" s="314"/>
      <c r="AH8" s="314"/>
      <c r="AI8" s="314"/>
      <c r="AJ8" s="314"/>
      <c r="AK8" s="314"/>
      <c r="AL8" s="314">
        <f>AC8*15%*3.85%</f>
        <v>16.456773742837314</v>
      </c>
      <c r="AM8" s="337" t="s">
        <v>81</v>
      </c>
      <c r="AN8" s="313" t="s">
        <v>82</v>
      </c>
      <c r="AQ8" s="342"/>
    </row>
    <row r="9" spans="1:43" ht="28.5">
      <c r="B9" s="324" t="s">
        <v>83</v>
      </c>
      <c r="C9" s="325" t="s">
        <v>84</v>
      </c>
      <c r="D9" s="306" t="s">
        <v>85</v>
      </c>
      <c r="E9" s="305" t="s">
        <v>75</v>
      </c>
      <c r="F9" s="305" t="s">
        <v>75</v>
      </c>
      <c r="G9" s="305" t="s">
        <v>75</v>
      </c>
      <c r="H9" s="305" t="s">
        <v>75</v>
      </c>
      <c r="I9" s="305" t="s">
        <v>75</v>
      </c>
      <c r="J9" s="305" t="s">
        <v>75</v>
      </c>
      <c r="K9" s="311"/>
      <c r="L9" s="311"/>
      <c r="M9" s="311"/>
      <c r="N9" s="311"/>
      <c r="O9" s="311"/>
      <c r="P9" s="311"/>
      <c r="Q9" s="305" t="s">
        <v>75</v>
      </c>
      <c r="R9" s="305" t="s">
        <v>75</v>
      </c>
      <c r="S9" s="311"/>
      <c r="T9" s="311"/>
      <c r="U9" s="332"/>
      <c r="V9" s="332"/>
      <c r="W9" s="332"/>
      <c r="X9" s="332"/>
      <c r="Y9" s="332"/>
      <c r="Z9" s="332"/>
      <c r="AA9" s="332"/>
      <c r="AB9" s="332"/>
      <c r="AC9" s="338">
        <v>1473.77</v>
      </c>
      <c r="AD9" s="339">
        <v>7712.34</v>
      </c>
      <c r="AE9" s="339">
        <f>AD9/7.0795</f>
        <v>1089.390493678932</v>
      </c>
      <c r="AF9" s="339">
        <f>AD9-AC9</f>
        <v>6238.57</v>
      </c>
      <c r="AG9" s="339"/>
      <c r="AH9" s="339"/>
      <c r="AI9" s="339"/>
      <c r="AJ9" s="339"/>
      <c r="AK9" s="339"/>
      <c r="AL9" s="339">
        <f>AC9*3.85%</f>
        <v>56.740144999999998</v>
      </c>
      <c r="AM9" s="324" t="s">
        <v>86</v>
      </c>
      <c r="AN9" s="329" t="s">
        <v>87</v>
      </c>
      <c r="AO9" s="311"/>
      <c r="AP9" s="311"/>
    </row>
    <row r="10" spans="1:43" ht="28.5">
      <c r="A10" s="387">
        <v>44063</v>
      </c>
      <c r="B10" s="370" t="s">
        <v>88</v>
      </c>
      <c r="C10" s="325" t="s">
        <v>89</v>
      </c>
      <c r="D10" s="310" t="s">
        <v>85</v>
      </c>
      <c r="E10" s="305" t="s">
        <v>75</v>
      </c>
      <c r="F10" s="305" t="s">
        <v>75</v>
      </c>
      <c r="G10" s="305" t="s">
        <v>75</v>
      </c>
      <c r="H10" s="305" t="s">
        <v>75</v>
      </c>
      <c r="I10" s="305" t="s">
        <v>75</v>
      </c>
      <c r="J10" s="305" t="s">
        <v>75</v>
      </c>
      <c r="K10" s="324"/>
      <c r="L10" s="324"/>
      <c r="M10" s="324"/>
      <c r="N10" s="324"/>
      <c r="O10" s="324"/>
      <c r="P10" s="324"/>
      <c r="Q10" s="305" t="s">
        <v>75</v>
      </c>
      <c r="R10" s="305" t="s">
        <v>75</v>
      </c>
      <c r="S10" s="324"/>
      <c r="T10" s="324"/>
      <c r="U10" s="333"/>
      <c r="V10" s="333"/>
      <c r="W10" s="333"/>
      <c r="X10" s="333"/>
      <c r="Y10" s="333"/>
      <c r="Z10" s="333"/>
      <c r="AA10" s="333"/>
      <c r="AB10" s="333"/>
      <c r="AC10" s="339">
        <v>178.2</v>
      </c>
      <c r="AD10" s="392" t="s">
        <v>3078</v>
      </c>
      <c r="AE10" s="339"/>
      <c r="AF10" s="339">
        <v>0</v>
      </c>
      <c r="AG10" s="339">
        <v>7.2</v>
      </c>
      <c r="AH10" s="339">
        <f>AC10-AG10</f>
        <v>171</v>
      </c>
      <c r="AI10" s="392" t="s">
        <v>3079</v>
      </c>
      <c r="AJ10" s="392"/>
      <c r="AK10" s="392"/>
      <c r="AL10" s="339">
        <f>AE10*7.0795*3.85%</f>
        <v>0</v>
      </c>
      <c r="AM10" s="324" t="s">
        <v>90</v>
      </c>
      <c r="AN10" s="329" t="s">
        <v>91</v>
      </c>
      <c r="AO10" s="311"/>
      <c r="AP10" s="311"/>
    </row>
    <row r="11" spans="1:43" ht="28.5">
      <c r="A11" s="387">
        <v>44063</v>
      </c>
      <c r="B11" s="400" t="s">
        <v>92</v>
      </c>
      <c r="C11" s="326" t="s">
        <v>89</v>
      </c>
      <c r="D11" s="327" t="s">
        <v>85</v>
      </c>
      <c r="E11" s="328" t="s">
        <v>75</v>
      </c>
      <c r="F11" s="328" t="s">
        <v>75</v>
      </c>
      <c r="G11" s="328" t="s">
        <v>75</v>
      </c>
      <c r="H11" s="328" t="s">
        <v>75</v>
      </c>
      <c r="I11" s="328" t="s">
        <v>75</v>
      </c>
      <c r="J11" s="328" t="s">
        <v>75</v>
      </c>
      <c r="K11" s="326"/>
      <c r="L11" s="326"/>
      <c r="M11" s="326"/>
      <c r="N11" s="326"/>
      <c r="O11" s="326"/>
      <c r="P11" s="326"/>
      <c r="Q11" s="328" t="s">
        <v>75</v>
      </c>
      <c r="R11" s="328" t="s">
        <v>75</v>
      </c>
      <c r="S11" s="326"/>
      <c r="T11" s="326"/>
      <c r="U11" s="334"/>
      <c r="V11" s="334"/>
      <c r="W11" s="334"/>
      <c r="X11" s="334"/>
      <c r="Y11" s="334"/>
      <c r="Z11" s="334"/>
      <c r="AA11" s="334">
        <v>339.6</v>
      </c>
      <c r="AB11" s="334">
        <v>7.0795000000000003</v>
      </c>
      <c r="AC11" s="334">
        <f>AA11*AB11</f>
        <v>2404.1982000000003</v>
      </c>
      <c r="AD11" s="334">
        <f>AE11*7.0795</f>
        <v>949.05582355000013</v>
      </c>
      <c r="AE11" s="334">
        <v>134.05690000000001</v>
      </c>
      <c r="AF11" s="334">
        <v>1019</v>
      </c>
      <c r="AG11" s="334">
        <f>20*7.0795</f>
        <v>141.59</v>
      </c>
      <c r="AH11" s="334">
        <f>AC11-AG11</f>
        <v>2262.6082000000001</v>
      </c>
      <c r="AI11" s="399" t="s">
        <v>3085</v>
      </c>
      <c r="AJ11" s="399"/>
      <c r="AK11" s="399"/>
      <c r="AL11" s="334"/>
      <c r="AM11" s="391" t="s">
        <v>3082</v>
      </c>
      <c r="AN11" s="340" t="s">
        <v>93</v>
      </c>
      <c r="AO11" s="311"/>
      <c r="AP11" s="311"/>
    </row>
    <row r="12" spans="1:43" s="311" customFormat="1" ht="28.5">
      <c r="A12" s="373">
        <v>44063</v>
      </c>
      <c r="B12" s="374" t="s">
        <v>94</v>
      </c>
      <c r="C12" s="393" t="s">
        <v>89</v>
      </c>
      <c r="D12" s="327" t="s">
        <v>85</v>
      </c>
      <c r="E12" s="305" t="s">
        <v>75</v>
      </c>
      <c r="F12" s="305" t="s">
        <v>75</v>
      </c>
      <c r="G12" s="305" t="s">
        <v>75</v>
      </c>
      <c r="H12" s="305" t="s">
        <v>75</v>
      </c>
      <c r="I12" s="305" t="s">
        <v>75</v>
      </c>
      <c r="J12" s="305" t="s">
        <v>75</v>
      </c>
      <c r="Q12" s="305" t="s">
        <v>75</v>
      </c>
      <c r="R12" s="305" t="s">
        <v>75</v>
      </c>
      <c r="U12" s="332"/>
      <c r="V12" s="332"/>
      <c r="W12" s="332"/>
      <c r="X12" s="332"/>
      <c r="Y12" s="332"/>
      <c r="Z12" s="332"/>
      <c r="AA12" s="332"/>
      <c r="AB12" s="332"/>
      <c r="AC12" s="336"/>
      <c r="AD12" s="336">
        <v>572.65</v>
      </c>
      <c r="AE12" s="336"/>
      <c r="AF12" s="336">
        <f>AD12</f>
        <v>572.65</v>
      </c>
      <c r="AG12" s="336"/>
      <c r="AH12" s="336"/>
      <c r="AI12" s="336"/>
      <c r="AJ12" s="336"/>
      <c r="AK12" s="336"/>
      <c r="AL12" s="336"/>
      <c r="AM12" s="385" t="s">
        <v>3081</v>
      </c>
      <c r="AN12" s="329" t="s">
        <v>95</v>
      </c>
      <c r="AQ12" s="343"/>
    </row>
    <row r="13" spans="1:43" s="311" customFormat="1" ht="28.5">
      <c r="A13" s="373">
        <v>44062</v>
      </c>
      <c r="B13" s="374" t="s">
        <v>96</v>
      </c>
      <c r="C13" s="325" t="s">
        <v>89</v>
      </c>
      <c r="D13" s="306" t="s">
        <v>85</v>
      </c>
      <c r="E13" s="305" t="s">
        <v>75</v>
      </c>
      <c r="F13" s="305" t="s">
        <v>75</v>
      </c>
      <c r="G13" s="305" t="s">
        <v>75</v>
      </c>
      <c r="H13" s="305" t="s">
        <v>75</v>
      </c>
      <c r="I13" s="305" t="s">
        <v>75</v>
      </c>
      <c r="J13" s="305" t="s">
        <v>75</v>
      </c>
      <c r="Q13" s="305" t="s">
        <v>75</v>
      </c>
      <c r="R13" s="305" t="s">
        <v>75</v>
      </c>
      <c r="U13" s="332"/>
      <c r="V13" s="332"/>
      <c r="W13" s="332"/>
      <c r="X13" s="332"/>
      <c r="Y13" s="332"/>
      <c r="Z13" s="332"/>
      <c r="AA13" s="332"/>
      <c r="AB13" s="332"/>
      <c r="AC13" s="336">
        <v>472.97260509279999</v>
      </c>
      <c r="AD13" s="336">
        <v>365.4</v>
      </c>
      <c r="AE13" s="336">
        <f>AD13/7.0795</f>
        <v>51.613814534924778</v>
      </c>
      <c r="AF13" s="336">
        <v>0</v>
      </c>
      <c r="AG13" s="336"/>
      <c r="AH13" s="336"/>
      <c r="AI13" s="336"/>
      <c r="AJ13" s="336"/>
      <c r="AK13" s="336"/>
      <c r="AL13" s="336">
        <f>2738.87*5%*3.85%</f>
        <v>5.2723247500000001</v>
      </c>
      <c r="AM13" s="368" t="s">
        <v>3065</v>
      </c>
      <c r="AN13" s="329" t="s">
        <v>97</v>
      </c>
      <c r="AQ13" s="343"/>
    </row>
    <row r="14" spans="1:43" s="311" customFormat="1">
      <c r="A14" s="373">
        <v>44062</v>
      </c>
      <c r="B14" s="374" t="s">
        <v>96</v>
      </c>
      <c r="C14" s="325" t="s">
        <v>89</v>
      </c>
      <c r="D14" s="306" t="s">
        <v>98</v>
      </c>
      <c r="E14" s="305" t="s">
        <v>75</v>
      </c>
      <c r="F14" s="305" t="s">
        <v>75</v>
      </c>
      <c r="G14" s="305" t="s">
        <v>75</v>
      </c>
      <c r="H14" s="305" t="s">
        <v>75</v>
      </c>
      <c r="I14" s="305" t="s">
        <v>75</v>
      </c>
      <c r="J14" s="305" t="s">
        <v>75</v>
      </c>
      <c r="L14" s="305" t="s">
        <v>75</v>
      </c>
      <c r="R14" s="305" t="s">
        <v>75</v>
      </c>
      <c r="U14" s="332"/>
      <c r="V14" s="332">
        <v>4500</v>
      </c>
      <c r="W14" s="332"/>
      <c r="X14" s="332"/>
      <c r="Y14" s="332"/>
      <c r="Z14" s="332"/>
      <c r="AA14" s="332"/>
      <c r="AB14" s="332"/>
      <c r="AC14" s="336"/>
      <c r="AD14" s="336">
        <v>0.6</v>
      </c>
      <c r="AE14" s="336"/>
      <c r="AF14" s="336">
        <v>0.15</v>
      </c>
      <c r="AG14" s="336"/>
      <c r="AH14" s="336"/>
      <c r="AI14" s="336"/>
      <c r="AJ14" s="336"/>
      <c r="AK14" s="336"/>
      <c r="AL14" s="336">
        <v>0.45</v>
      </c>
      <c r="AM14" s="368" t="s">
        <v>3065</v>
      </c>
      <c r="AN14" s="329" t="s">
        <v>97</v>
      </c>
    </row>
    <row r="15" spans="1:43" s="311" customFormat="1">
      <c r="A15" s="373">
        <v>44062</v>
      </c>
      <c r="B15" s="374" t="s">
        <v>96</v>
      </c>
      <c r="C15" s="325" t="s">
        <v>89</v>
      </c>
      <c r="D15" s="306" t="s">
        <v>99</v>
      </c>
      <c r="E15" s="305" t="s">
        <v>75</v>
      </c>
      <c r="F15" s="305" t="s">
        <v>75</v>
      </c>
      <c r="G15" s="305" t="s">
        <v>75</v>
      </c>
      <c r="H15" s="305" t="s">
        <v>75</v>
      </c>
      <c r="I15" s="305" t="s">
        <v>75</v>
      </c>
      <c r="J15" s="305" t="s">
        <v>75</v>
      </c>
      <c r="M15" s="305" t="s">
        <v>75</v>
      </c>
      <c r="R15" s="305" t="s">
        <v>75</v>
      </c>
      <c r="U15" s="332"/>
      <c r="V15" s="332"/>
      <c r="W15" s="332">
        <f>(2452.5+1545+4120)*70%*7.961</f>
        <v>45236.392250000004</v>
      </c>
      <c r="X15" s="332"/>
      <c r="Y15" s="332"/>
      <c r="Z15" s="332"/>
      <c r="AA15" s="332"/>
      <c r="AB15" s="332"/>
      <c r="AC15" s="336"/>
      <c r="AD15" s="336">
        <v>6.29</v>
      </c>
      <c r="AE15" s="336"/>
      <c r="AF15" s="336">
        <f>AD15-4.52</f>
        <v>1.7700000000000005</v>
      </c>
      <c r="AG15" s="336"/>
      <c r="AH15" s="336"/>
      <c r="AI15" s="336"/>
      <c r="AJ15" s="336"/>
      <c r="AK15" s="336"/>
      <c r="AL15" s="336">
        <v>4.5199999999999996</v>
      </c>
      <c r="AM15" s="368" t="s">
        <v>3065</v>
      </c>
      <c r="AN15" s="329" t="s">
        <v>97</v>
      </c>
    </row>
    <row r="16" spans="1:43" s="311" customFormat="1">
      <c r="A16" s="401">
        <v>44064</v>
      </c>
      <c r="B16" s="324" t="s">
        <v>100</v>
      </c>
      <c r="C16" s="325" t="s">
        <v>89</v>
      </c>
      <c r="D16" s="306" t="s">
        <v>101</v>
      </c>
      <c r="E16" s="305" t="s">
        <v>75</v>
      </c>
      <c r="F16" s="305" t="s">
        <v>75</v>
      </c>
      <c r="G16" s="305" t="s">
        <v>75</v>
      </c>
      <c r="H16" s="305" t="s">
        <v>75</v>
      </c>
      <c r="I16" s="305" t="s">
        <v>75</v>
      </c>
      <c r="J16" s="306" t="s">
        <v>102</v>
      </c>
      <c r="K16" s="305" t="s">
        <v>75</v>
      </c>
      <c r="R16" s="305" t="s">
        <v>75</v>
      </c>
      <c r="U16" s="332">
        <v>1</v>
      </c>
      <c r="V16" s="332"/>
      <c r="W16" s="332"/>
      <c r="X16" s="332"/>
      <c r="Y16" s="332"/>
      <c r="Z16" s="332"/>
      <c r="AA16" s="332"/>
      <c r="AB16" s="332"/>
      <c r="AC16" s="339"/>
      <c r="AD16" s="339">
        <v>1</v>
      </c>
      <c r="AE16" s="339"/>
      <c r="AF16" s="339">
        <v>0</v>
      </c>
      <c r="AG16" s="339"/>
      <c r="AH16" s="339"/>
      <c r="AI16" s="339"/>
      <c r="AJ16" s="339"/>
      <c r="AK16" s="339"/>
      <c r="AL16" s="339">
        <v>1</v>
      </c>
      <c r="AM16" s="324"/>
      <c r="AN16" s="329" t="s">
        <v>103</v>
      </c>
    </row>
    <row r="17" spans="1:40" s="311" customFormat="1">
      <c r="A17" s="401">
        <v>44064</v>
      </c>
      <c r="B17" s="324" t="s">
        <v>100</v>
      </c>
      <c r="C17" s="325" t="s">
        <v>89</v>
      </c>
      <c r="D17" s="306" t="s">
        <v>98</v>
      </c>
      <c r="E17" s="305" t="s">
        <v>75</v>
      </c>
      <c r="F17" s="305" t="s">
        <v>75</v>
      </c>
      <c r="G17" s="305" t="s">
        <v>75</v>
      </c>
      <c r="H17" s="305" t="s">
        <v>75</v>
      </c>
      <c r="I17" s="305" t="s">
        <v>75</v>
      </c>
      <c r="J17" s="306" t="s">
        <v>102</v>
      </c>
      <c r="L17" s="305" t="s">
        <v>75</v>
      </c>
      <c r="R17" s="305" t="s">
        <v>75</v>
      </c>
      <c r="U17" s="332"/>
      <c r="V17" s="332">
        <f>4000*40+3700*5</f>
        <v>178500</v>
      </c>
      <c r="W17" s="332"/>
      <c r="X17" s="332"/>
      <c r="Y17" s="332"/>
      <c r="Z17" s="332"/>
      <c r="AA17" s="332"/>
      <c r="AB17" s="332"/>
      <c r="AC17" s="339"/>
      <c r="AD17" s="339">
        <v>17.850000000000001</v>
      </c>
      <c r="AE17" s="339"/>
      <c r="AF17" s="339">
        <v>0.9</v>
      </c>
      <c r="AG17" s="339"/>
      <c r="AH17" s="339"/>
      <c r="AI17" s="339"/>
      <c r="AJ17" s="339"/>
      <c r="AK17" s="339"/>
      <c r="AL17" s="339">
        <f>AD17-AF17</f>
        <v>16.950000000000003</v>
      </c>
      <c r="AM17" s="324"/>
      <c r="AN17" s="329" t="s">
        <v>103</v>
      </c>
    </row>
    <row r="18" spans="1:40" s="311" customFormat="1">
      <c r="A18" s="401">
        <v>44064</v>
      </c>
      <c r="B18" s="324" t="s">
        <v>100</v>
      </c>
      <c r="C18" s="325" t="s">
        <v>89</v>
      </c>
      <c r="D18" s="306" t="s">
        <v>104</v>
      </c>
      <c r="E18" s="305" t="s">
        <v>75</v>
      </c>
      <c r="F18" s="305" t="s">
        <v>75</v>
      </c>
      <c r="G18" s="305" t="s">
        <v>75</v>
      </c>
      <c r="H18" s="305" t="s">
        <v>75</v>
      </c>
      <c r="I18" s="305" t="s">
        <v>75</v>
      </c>
      <c r="J18" s="306" t="s">
        <v>102</v>
      </c>
      <c r="N18" s="305" t="s">
        <v>75</v>
      </c>
      <c r="R18" s="305" t="s">
        <v>75</v>
      </c>
      <c r="U18" s="332"/>
      <c r="V18" s="332"/>
      <c r="W18" s="332"/>
      <c r="X18" s="332">
        <v>10</v>
      </c>
      <c r="Y18" s="332"/>
      <c r="Z18" s="332"/>
      <c r="AA18" s="332"/>
      <c r="AB18" s="332"/>
      <c r="AC18" s="339"/>
      <c r="AD18" s="339"/>
      <c r="AE18" s="339"/>
      <c r="AF18" s="339"/>
      <c r="AG18" s="339"/>
      <c r="AH18" s="339"/>
      <c r="AI18" s="339"/>
      <c r="AJ18" s="339"/>
      <c r="AK18" s="339"/>
      <c r="AL18" s="339">
        <v>10</v>
      </c>
      <c r="AM18" s="324"/>
      <c r="AN18" s="329" t="s">
        <v>103</v>
      </c>
    </row>
    <row r="19" spans="1:40" s="311" customFormat="1">
      <c r="A19" s="401">
        <v>44064</v>
      </c>
      <c r="B19" s="324" t="s">
        <v>100</v>
      </c>
      <c r="C19" s="325" t="s">
        <v>89</v>
      </c>
      <c r="D19" s="306" t="s">
        <v>105</v>
      </c>
      <c r="E19" s="305" t="s">
        <v>75</v>
      </c>
      <c r="F19" s="305" t="s">
        <v>75</v>
      </c>
      <c r="G19" s="305" t="s">
        <v>75</v>
      </c>
      <c r="H19" s="305" t="s">
        <v>75</v>
      </c>
      <c r="I19" s="305" t="s">
        <v>75</v>
      </c>
      <c r="J19" s="306" t="s">
        <v>102</v>
      </c>
      <c r="R19" s="305" t="s">
        <v>75</v>
      </c>
      <c r="U19" s="332"/>
      <c r="V19" s="332"/>
      <c r="W19" s="332"/>
      <c r="X19" s="332"/>
      <c r="Y19" s="332">
        <v>10</v>
      </c>
      <c r="Z19" s="332"/>
      <c r="AA19" s="332"/>
      <c r="AB19" s="332"/>
      <c r="AC19" s="339"/>
      <c r="AD19" s="339"/>
      <c r="AE19" s="339"/>
      <c r="AF19" s="339"/>
      <c r="AG19" s="339"/>
      <c r="AH19" s="339"/>
      <c r="AI19" s="339"/>
      <c r="AJ19" s="339"/>
      <c r="AK19" s="339"/>
      <c r="AL19" s="339"/>
      <c r="AM19" s="324"/>
      <c r="AN19" s="329" t="s">
        <v>103</v>
      </c>
    </row>
    <row r="20" spans="1:40" s="311" customFormat="1" ht="28.5">
      <c r="A20" s="401">
        <v>44064</v>
      </c>
      <c r="B20" s="324" t="s">
        <v>100</v>
      </c>
      <c r="C20" s="325" t="s">
        <v>89</v>
      </c>
      <c r="D20" s="306" t="s">
        <v>85</v>
      </c>
      <c r="E20" s="305" t="s">
        <v>75</v>
      </c>
      <c r="F20" s="305" t="s">
        <v>75</v>
      </c>
      <c r="G20" s="305" t="s">
        <v>75</v>
      </c>
      <c r="H20" s="305" t="s">
        <v>75</v>
      </c>
      <c r="I20" s="305" t="s">
        <v>75</v>
      </c>
      <c r="J20" s="306" t="s">
        <v>102</v>
      </c>
      <c r="Q20" s="305" t="s">
        <v>75</v>
      </c>
      <c r="R20" s="305" t="s">
        <v>75</v>
      </c>
      <c r="U20" s="332"/>
      <c r="V20" s="332"/>
      <c r="W20" s="332"/>
      <c r="X20" s="332"/>
      <c r="Y20" s="332"/>
      <c r="Z20" s="332"/>
      <c r="AA20" s="332"/>
      <c r="AB20" s="332"/>
      <c r="AC20" s="339">
        <v>4608.7545</v>
      </c>
      <c r="AD20" s="339">
        <f>AE20*7.0795</f>
        <v>4608.7545</v>
      </c>
      <c r="AE20" s="339">
        <v>651</v>
      </c>
      <c r="AF20" s="339">
        <f>(AD20*10000-AC20)/10000</f>
        <v>4608.2936245499995</v>
      </c>
      <c r="AG20" s="339">
        <v>4608.7545</v>
      </c>
      <c r="AH20" s="339"/>
      <c r="AI20" s="339"/>
      <c r="AJ20" s="339"/>
      <c r="AK20" s="339"/>
      <c r="AL20" s="339"/>
      <c r="AM20" s="391" t="s">
        <v>3095</v>
      </c>
      <c r="AN20" s="329" t="s">
        <v>103</v>
      </c>
    </row>
    <row r="21" spans="1:40" s="311" customFormat="1" ht="28.5">
      <c r="A21" s="369">
        <v>44063</v>
      </c>
      <c r="B21" s="441" t="s">
        <v>3110</v>
      </c>
      <c r="C21" s="325" t="s">
        <v>89</v>
      </c>
      <c r="D21" s="306" t="s">
        <v>85</v>
      </c>
      <c r="E21" s="305" t="s">
        <v>75</v>
      </c>
      <c r="F21" s="305" t="s">
        <v>75</v>
      </c>
      <c r="G21" s="305" t="s">
        <v>75</v>
      </c>
      <c r="H21" s="305" t="s">
        <v>75</v>
      </c>
      <c r="I21" s="305" t="s">
        <v>75</v>
      </c>
      <c r="J21" s="305" t="s">
        <v>75</v>
      </c>
      <c r="K21" s="325"/>
      <c r="Q21" s="305" t="s">
        <v>75</v>
      </c>
      <c r="R21" s="305" t="s">
        <v>75</v>
      </c>
      <c r="U21" s="332"/>
      <c r="V21" s="332"/>
      <c r="W21" s="332"/>
      <c r="X21" s="332"/>
      <c r="Y21" s="332"/>
      <c r="Z21" s="332"/>
      <c r="AA21" s="332">
        <v>749</v>
      </c>
      <c r="AB21" s="332">
        <v>7</v>
      </c>
      <c r="AC21" s="341">
        <f>AB21*AA21</f>
        <v>5243</v>
      </c>
      <c r="AD21" s="341"/>
      <c r="AE21" s="211">
        <v>112</v>
      </c>
      <c r="AF21" s="341">
        <v>42</v>
      </c>
      <c r="AG21" s="341">
        <f>38*7</f>
        <v>266</v>
      </c>
      <c r="AH21" s="341">
        <f>AC21-AG21</f>
        <v>4977</v>
      </c>
      <c r="AI21" s="382"/>
      <c r="AJ21" s="382"/>
      <c r="AK21" s="382"/>
      <c r="AL21" s="341">
        <f>106*7</f>
        <v>742</v>
      </c>
      <c r="AM21" s="324"/>
      <c r="AN21" s="329" t="s">
        <v>107</v>
      </c>
    </row>
    <row r="22" spans="1:40" s="311" customFormat="1">
      <c r="A22" s="369">
        <v>44062</v>
      </c>
      <c r="B22" s="370" t="s">
        <v>108</v>
      </c>
      <c r="C22" s="325" t="s">
        <v>89</v>
      </c>
      <c r="D22" s="306" t="s">
        <v>101</v>
      </c>
      <c r="E22" s="305" t="s">
        <v>75</v>
      </c>
      <c r="F22" s="305" t="s">
        <v>75</v>
      </c>
      <c r="G22" s="305" t="s">
        <v>75</v>
      </c>
      <c r="H22" s="305" t="s">
        <v>75</v>
      </c>
      <c r="I22" s="305" t="s">
        <v>75</v>
      </c>
      <c r="J22" s="305" t="s">
        <v>75</v>
      </c>
      <c r="K22" s="305" t="s">
        <v>75</v>
      </c>
      <c r="R22" s="305" t="s">
        <v>75</v>
      </c>
      <c r="U22" s="332">
        <v>27000</v>
      </c>
      <c r="V22" s="332"/>
      <c r="W22" s="332"/>
      <c r="X22" s="332"/>
      <c r="Y22" s="332"/>
      <c r="Z22" s="332"/>
      <c r="AA22" s="332"/>
      <c r="AB22" s="332"/>
      <c r="AC22" s="339">
        <v>2.7</v>
      </c>
      <c r="AD22" s="339">
        <v>2.7</v>
      </c>
      <c r="AE22" s="339">
        <f>AD22/7.0795</f>
        <v>0.3813828660216117</v>
      </c>
      <c r="AF22" s="339">
        <v>0.26700000000000002</v>
      </c>
      <c r="AG22" s="339"/>
      <c r="AH22" s="339"/>
      <c r="AI22" s="339"/>
      <c r="AJ22" s="339"/>
      <c r="AK22" s="339"/>
      <c r="AL22" s="339">
        <f>AD22-AF22</f>
        <v>2.4330000000000003</v>
      </c>
      <c r="AM22" s="324" t="s">
        <v>86</v>
      </c>
      <c r="AN22" s="329" t="s">
        <v>109</v>
      </c>
    </row>
    <row r="23" spans="1:40" s="311" customFormat="1" ht="28.5">
      <c r="A23" s="369">
        <v>44062</v>
      </c>
      <c r="B23" s="370" t="s">
        <v>108</v>
      </c>
      <c r="C23" s="325" t="s">
        <v>89</v>
      </c>
      <c r="D23" s="306" t="s">
        <v>85</v>
      </c>
      <c r="E23" s="305" t="s">
        <v>75</v>
      </c>
      <c r="F23" s="305" t="s">
        <v>75</v>
      </c>
      <c r="G23" s="305" t="s">
        <v>75</v>
      </c>
      <c r="H23" s="305" t="s">
        <v>75</v>
      </c>
      <c r="I23" s="305" t="s">
        <v>75</v>
      </c>
      <c r="J23" s="305" t="s">
        <v>75</v>
      </c>
      <c r="Q23" s="305" t="s">
        <v>75</v>
      </c>
      <c r="R23" s="305" t="s">
        <v>75</v>
      </c>
      <c r="U23" s="332"/>
      <c r="V23" s="332"/>
      <c r="W23" s="332"/>
      <c r="X23" s="332"/>
      <c r="Y23" s="332"/>
      <c r="Z23" s="332"/>
      <c r="AA23" s="332">
        <v>575.4</v>
      </c>
      <c r="AB23" s="332">
        <v>7.0795000000000003</v>
      </c>
      <c r="AC23" s="339">
        <f>AA23*AB23</f>
        <v>4073.5443</v>
      </c>
      <c r="AD23" s="339">
        <f>AE23*7.0795</f>
        <v>407.21284000000003</v>
      </c>
      <c r="AE23" s="339">
        <v>57.52</v>
      </c>
      <c r="AF23" s="339">
        <v>0</v>
      </c>
      <c r="AG23" s="339"/>
      <c r="AH23" s="339"/>
      <c r="AI23" s="371" t="s">
        <v>3063</v>
      </c>
      <c r="AJ23" s="371"/>
      <c r="AK23" s="371"/>
      <c r="AL23" s="339"/>
      <c r="AM23" s="324" t="s">
        <v>86</v>
      </c>
      <c r="AN23" s="329" t="s">
        <v>109</v>
      </c>
    </row>
    <row r="24" spans="1:40" s="311" customFormat="1" ht="28.5">
      <c r="A24" s="445"/>
      <c r="B24" s="381" t="s">
        <v>110</v>
      </c>
      <c r="C24" s="325" t="s">
        <v>89</v>
      </c>
      <c r="D24" s="306" t="s">
        <v>85</v>
      </c>
      <c r="E24" s="305" t="s">
        <v>75</v>
      </c>
      <c r="F24" s="305" t="s">
        <v>75</v>
      </c>
      <c r="G24" s="305" t="s">
        <v>75</v>
      </c>
      <c r="H24" s="305" t="s">
        <v>75</v>
      </c>
      <c r="I24" s="305" t="s">
        <v>75</v>
      </c>
      <c r="J24" s="305" t="s">
        <v>75</v>
      </c>
      <c r="R24" s="305" t="s">
        <v>75</v>
      </c>
      <c r="U24" s="332"/>
      <c r="V24" s="332"/>
      <c r="W24" s="332"/>
      <c r="X24" s="332"/>
      <c r="Y24" s="332"/>
      <c r="Z24" s="332"/>
      <c r="AA24" s="332"/>
      <c r="AB24" s="332"/>
      <c r="AC24" s="339">
        <v>823.42</v>
      </c>
      <c r="AD24" s="339">
        <f>AE24*7.0795</f>
        <v>5829.4018900000001</v>
      </c>
      <c r="AE24" s="339">
        <v>823.42</v>
      </c>
      <c r="AF24" s="339">
        <v>0</v>
      </c>
      <c r="AG24" s="339"/>
      <c r="AH24" s="339"/>
      <c r="AI24" s="339"/>
      <c r="AJ24" s="339"/>
      <c r="AK24" s="339"/>
      <c r="AL24" s="339"/>
      <c r="AM24" s="329"/>
      <c r="AN24" s="329" t="s">
        <v>111</v>
      </c>
    </row>
    <row r="25" spans="1:40" s="306" customFormat="1" ht="28.5">
      <c r="A25" s="383">
        <v>44063</v>
      </c>
      <c r="B25" s="384" t="s">
        <v>112</v>
      </c>
      <c r="C25" s="325" t="s">
        <v>89</v>
      </c>
      <c r="D25" s="306" t="s">
        <v>85</v>
      </c>
      <c r="E25" s="305" t="s">
        <v>75</v>
      </c>
      <c r="F25" s="305" t="s">
        <v>75</v>
      </c>
      <c r="G25" s="305" t="s">
        <v>75</v>
      </c>
      <c r="H25" s="305" t="s">
        <v>75</v>
      </c>
      <c r="I25" s="305" t="s">
        <v>75</v>
      </c>
      <c r="J25" s="305" t="s">
        <v>75</v>
      </c>
      <c r="Q25" s="305" t="s">
        <v>75</v>
      </c>
      <c r="R25" s="305" t="s">
        <v>75</v>
      </c>
      <c r="U25" s="335"/>
      <c r="V25" s="335"/>
      <c r="W25" s="335"/>
      <c r="X25" s="335"/>
      <c r="Y25" s="335"/>
      <c r="Z25" s="335"/>
      <c r="AA25" s="335">
        <v>974.53</v>
      </c>
      <c r="AB25" s="332">
        <v>7.0795000000000003</v>
      </c>
      <c r="AC25" s="341">
        <f>AB25*AA25</f>
        <v>6899.1851349999997</v>
      </c>
      <c r="AD25" s="336"/>
      <c r="AE25" s="336">
        <v>974.53</v>
      </c>
      <c r="AF25" s="336">
        <v>0</v>
      </c>
      <c r="AG25" s="336"/>
      <c r="AH25" s="336"/>
      <c r="AI25" s="382" t="s">
        <v>3077</v>
      </c>
      <c r="AJ25" s="382">
        <v>486</v>
      </c>
      <c r="AK25" s="382">
        <f>AJ25*7</f>
        <v>3402</v>
      </c>
      <c r="AL25" s="336"/>
      <c r="AM25" s="386" t="s">
        <v>3073</v>
      </c>
      <c r="AN25" s="329" t="s">
        <v>113</v>
      </c>
    </row>
    <row r="26" spans="1:40" s="311" customFormat="1">
      <c r="A26" s="369">
        <v>44062</v>
      </c>
      <c r="B26" s="375" t="s">
        <v>114</v>
      </c>
      <c r="C26" s="325" t="s">
        <v>89</v>
      </c>
      <c r="D26" s="306" t="s">
        <v>101</v>
      </c>
      <c r="E26" s="305" t="s">
        <v>75</v>
      </c>
      <c r="F26" s="305" t="s">
        <v>75</v>
      </c>
      <c r="G26" s="305" t="s">
        <v>75</v>
      </c>
      <c r="H26" s="305" t="s">
        <v>75</v>
      </c>
      <c r="I26" s="305" t="s">
        <v>75</v>
      </c>
      <c r="J26" s="305" t="s">
        <v>75</v>
      </c>
      <c r="K26" s="305" t="s">
        <v>75</v>
      </c>
      <c r="L26" s="329"/>
      <c r="M26" s="329"/>
      <c r="N26" s="329"/>
      <c r="O26" s="329"/>
      <c r="P26" s="329"/>
      <c r="Q26" s="329"/>
      <c r="R26" s="305" t="s">
        <v>75</v>
      </c>
      <c r="S26" s="329"/>
      <c r="T26" s="329"/>
      <c r="U26" s="336">
        <v>16800</v>
      </c>
      <c r="V26" s="336"/>
      <c r="W26" s="336"/>
      <c r="X26" s="336"/>
      <c r="Y26" s="336"/>
      <c r="Z26" s="336"/>
      <c r="AA26" s="336"/>
      <c r="AB26" s="336"/>
      <c r="AC26" s="336"/>
      <c r="AD26" s="336">
        <v>1.68</v>
      </c>
      <c r="AE26" s="336"/>
      <c r="AF26" s="336">
        <v>0</v>
      </c>
      <c r="AG26" s="336"/>
      <c r="AH26" s="336"/>
      <c r="AI26" s="336"/>
      <c r="AJ26" s="336"/>
      <c r="AK26" s="336"/>
      <c r="AL26" s="336">
        <v>1.68</v>
      </c>
      <c r="AM26" s="324" t="s">
        <v>86</v>
      </c>
      <c r="AN26" s="329" t="s">
        <v>115</v>
      </c>
    </row>
    <row r="27" spans="1:40" s="311" customFormat="1" ht="21" customHeight="1">
      <c r="A27" s="369">
        <v>44062</v>
      </c>
      <c r="B27" s="375" t="s">
        <v>114</v>
      </c>
      <c r="C27" s="325" t="s">
        <v>89</v>
      </c>
      <c r="D27" s="306" t="s">
        <v>99</v>
      </c>
      <c r="E27" s="305" t="s">
        <v>75</v>
      </c>
      <c r="F27" s="305" t="s">
        <v>75</v>
      </c>
      <c r="G27" s="305" t="s">
        <v>75</v>
      </c>
      <c r="H27" s="305" t="s">
        <v>75</v>
      </c>
      <c r="I27" s="305" t="s">
        <v>75</v>
      </c>
      <c r="J27" s="305" t="s">
        <v>75</v>
      </c>
      <c r="K27" s="329"/>
      <c r="L27" s="329"/>
      <c r="M27" s="305" t="s">
        <v>75</v>
      </c>
      <c r="N27" s="329"/>
      <c r="O27" s="329"/>
      <c r="P27" s="329"/>
      <c r="Q27" s="329"/>
      <c r="R27" s="305" t="s">
        <v>75</v>
      </c>
      <c r="S27" s="329"/>
      <c r="T27" s="329"/>
      <c r="U27" s="336"/>
      <c r="V27" s="336"/>
      <c r="W27" s="336">
        <v>79480</v>
      </c>
      <c r="X27" s="336"/>
      <c r="Y27" s="336"/>
      <c r="Z27" s="336"/>
      <c r="AA27" s="336"/>
      <c r="AB27" s="336"/>
      <c r="AC27" s="336"/>
      <c r="AD27" s="336">
        <v>12.11</v>
      </c>
      <c r="AE27" s="336"/>
      <c r="AF27" s="336">
        <f>AD27-AL27</f>
        <v>4.161999999999999</v>
      </c>
      <c r="AG27" s="336"/>
      <c r="AH27" s="336"/>
      <c r="AI27" s="336"/>
      <c r="AJ27" s="336"/>
      <c r="AK27" s="336"/>
      <c r="AL27" s="336">
        <v>7.9480000000000004</v>
      </c>
      <c r="AM27" s="324"/>
      <c r="AN27" s="329" t="s">
        <v>115</v>
      </c>
    </row>
    <row r="28" spans="1:40" s="311" customFormat="1" ht="28.5">
      <c r="A28" s="369">
        <v>44062</v>
      </c>
      <c r="B28" s="375" t="s">
        <v>114</v>
      </c>
      <c r="C28" s="325" t="s">
        <v>89</v>
      </c>
      <c r="D28" s="306" t="s">
        <v>85</v>
      </c>
      <c r="E28" s="329"/>
      <c r="F28" s="329"/>
      <c r="G28" s="329"/>
      <c r="H28" s="329"/>
      <c r="I28" s="329"/>
      <c r="J28" s="329"/>
      <c r="K28" s="329"/>
      <c r="L28" s="329"/>
      <c r="M28" s="329"/>
      <c r="N28" s="329"/>
      <c r="O28" s="329"/>
      <c r="P28" s="329"/>
      <c r="Q28" s="329"/>
      <c r="R28" s="305" t="s">
        <v>75</v>
      </c>
      <c r="S28" s="329"/>
      <c r="T28" s="329"/>
      <c r="U28" s="336"/>
      <c r="V28" s="336"/>
      <c r="W28" s="336"/>
      <c r="X28" s="336"/>
      <c r="Y28" s="336"/>
      <c r="Z28" s="336"/>
      <c r="AA28" s="336"/>
      <c r="AB28" s="336"/>
      <c r="AC28" s="336"/>
      <c r="AD28" s="336"/>
      <c r="AE28" s="336"/>
      <c r="AF28" s="336"/>
      <c r="AG28" s="336"/>
      <c r="AH28" s="336"/>
      <c r="AI28" s="336"/>
      <c r="AJ28" s="336"/>
      <c r="AK28" s="336"/>
      <c r="AL28" s="336">
        <v>0</v>
      </c>
      <c r="AM28" s="310" t="s">
        <v>116</v>
      </c>
      <c r="AN28" s="329" t="s">
        <v>115</v>
      </c>
    </row>
    <row r="29" spans="1:40" s="311" customFormat="1" ht="42.75">
      <c r="A29" s="373">
        <v>44063</v>
      </c>
      <c r="B29" s="429" t="s">
        <v>117</v>
      </c>
      <c r="C29" s="325" t="s">
        <v>89</v>
      </c>
      <c r="D29" s="306" t="s">
        <v>85</v>
      </c>
      <c r="E29" s="305" t="s">
        <v>75</v>
      </c>
      <c r="F29" s="305" t="s">
        <v>75</v>
      </c>
      <c r="G29" s="305" t="s">
        <v>75</v>
      </c>
      <c r="H29" s="305" t="s">
        <v>75</v>
      </c>
      <c r="I29" s="305" t="s">
        <v>75</v>
      </c>
      <c r="J29" s="329" t="s">
        <v>118</v>
      </c>
      <c r="K29" s="329"/>
      <c r="L29" s="329"/>
      <c r="M29" s="329"/>
      <c r="N29" s="329"/>
      <c r="O29" s="329"/>
      <c r="P29" s="329"/>
      <c r="Q29" s="305" t="s">
        <v>75</v>
      </c>
      <c r="R29" s="305" t="s">
        <v>75</v>
      </c>
      <c r="S29" s="329"/>
      <c r="T29" s="329"/>
      <c r="U29" s="336"/>
      <c r="V29" s="336"/>
      <c r="W29" s="336"/>
      <c r="X29" s="336"/>
      <c r="Y29" s="336"/>
      <c r="Z29" s="336"/>
      <c r="AA29" s="336"/>
      <c r="AB29" s="336"/>
      <c r="AC29" s="336">
        <v>83</v>
      </c>
      <c r="AD29" s="336">
        <f>AE29*7.0795</f>
        <v>587.59850000000006</v>
      </c>
      <c r="AE29" s="336">
        <v>83</v>
      </c>
      <c r="AF29" s="336">
        <v>0</v>
      </c>
      <c r="AG29" s="336">
        <v>0.08</v>
      </c>
      <c r="AH29" s="336">
        <f>AE29-AG29</f>
        <v>82.92</v>
      </c>
      <c r="AI29" s="336"/>
      <c r="AJ29" s="336"/>
      <c r="AK29" s="336"/>
      <c r="AL29" s="336"/>
      <c r="AM29" s="385" t="s">
        <v>3097</v>
      </c>
      <c r="AN29" s="329" t="s">
        <v>119</v>
      </c>
    </row>
    <row r="30" spans="1:40" s="311" customFormat="1" ht="28.5">
      <c r="A30" s="369">
        <v>44062</v>
      </c>
      <c r="B30" s="370" t="s">
        <v>120</v>
      </c>
      <c r="C30" s="325" t="s">
        <v>89</v>
      </c>
      <c r="D30" s="306" t="s">
        <v>85</v>
      </c>
      <c r="E30" s="305" t="s">
        <v>75</v>
      </c>
      <c r="F30" s="305" t="s">
        <v>75</v>
      </c>
      <c r="G30" s="305" t="s">
        <v>75</v>
      </c>
      <c r="H30" s="305" t="s">
        <v>75</v>
      </c>
      <c r="I30" s="305" t="s">
        <v>75</v>
      </c>
      <c r="J30" s="305" t="s">
        <v>75</v>
      </c>
      <c r="K30" s="329"/>
      <c r="L30" s="329"/>
      <c r="M30" s="329"/>
      <c r="N30" s="329"/>
      <c r="O30" s="329"/>
      <c r="P30" s="329"/>
      <c r="Q30" s="305" t="s">
        <v>75</v>
      </c>
      <c r="R30" s="305" t="s">
        <v>75</v>
      </c>
      <c r="S30" s="329"/>
      <c r="T30" s="329"/>
      <c r="U30" s="336"/>
      <c r="V30" s="336"/>
      <c r="W30" s="336"/>
      <c r="X30" s="336"/>
      <c r="Y30" s="336"/>
      <c r="Z30" s="336"/>
      <c r="AA30" s="336"/>
      <c r="AB30" s="336"/>
      <c r="AC30" s="336">
        <v>12.7585</v>
      </c>
      <c r="AD30" s="336">
        <f>AE30*7.0795</f>
        <v>14433.585487</v>
      </c>
      <c r="AE30" s="336">
        <v>2038.7860000000001</v>
      </c>
      <c r="AF30" s="336">
        <f>AE30-AC30</f>
        <v>2026.0275000000001</v>
      </c>
      <c r="AG30" s="336"/>
      <c r="AH30" s="336"/>
      <c r="AI30" s="336"/>
      <c r="AJ30" s="336"/>
      <c r="AK30" s="336"/>
      <c r="AL30" s="336"/>
      <c r="AM30" s="368" t="s">
        <v>3062</v>
      </c>
      <c r="AN30" s="329" t="s">
        <v>121</v>
      </c>
    </row>
    <row r="31" spans="1:40" s="311" customFormat="1" ht="28.5">
      <c r="A31" s="380">
        <v>44066</v>
      </c>
      <c r="B31" s="440" t="s">
        <v>3113</v>
      </c>
      <c r="C31" s="325" t="s">
        <v>89</v>
      </c>
      <c r="D31" s="306" t="s">
        <v>85</v>
      </c>
      <c r="E31" s="305" t="s">
        <v>75</v>
      </c>
      <c r="F31" s="305" t="s">
        <v>75</v>
      </c>
      <c r="G31" s="305" t="s">
        <v>75</v>
      </c>
      <c r="H31" s="305" t="s">
        <v>75</v>
      </c>
      <c r="I31" s="305" t="s">
        <v>75</v>
      </c>
      <c r="J31" s="439" t="s">
        <v>3106</v>
      </c>
      <c r="K31" s="329"/>
      <c r="L31" s="329"/>
      <c r="M31" s="329"/>
      <c r="N31" s="329"/>
      <c r="O31" s="329"/>
      <c r="P31" s="329"/>
      <c r="Q31" s="305" t="s">
        <v>75</v>
      </c>
      <c r="R31" s="305" t="s">
        <v>75</v>
      </c>
      <c r="S31" s="329"/>
      <c r="T31" s="329"/>
      <c r="U31" s="336"/>
      <c r="V31" s="336"/>
      <c r="W31" s="336"/>
      <c r="X31" s="336"/>
      <c r="Y31" s="336"/>
      <c r="Z31" s="336"/>
      <c r="AA31" s="336"/>
      <c r="AB31" s="336"/>
      <c r="AC31" s="336">
        <v>562.95000000000005</v>
      </c>
      <c r="AD31" s="336">
        <f>AE31*7.0795</f>
        <v>3986.2540650000005</v>
      </c>
      <c r="AE31" s="336">
        <v>563.07000000000005</v>
      </c>
      <c r="AF31" s="336">
        <f>AD31-AL31</f>
        <v>3792.0040650000005</v>
      </c>
      <c r="AG31" s="336"/>
      <c r="AH31" s="336">
        <v>3885</v>
      </c>
      <c r="AI31" s="336">
        <v>0.05</v>
      </c>
      <c r="AJ31" s="336">
        <v>82.96</v>
      </c>
      <c r="AK31" s="336">
        <f>AJ31*7</f>
        <v>580.71999999999991</v>
      </c>
      <c r="AL31" s="444">
        <f>AH31*AI31</f>
        <v>194.25</v>
      </c>
      <c r="AM31" s="442" t="s">
        <v>3116</v>
      </c>
      <c r="AN31" s="329" t="s">
        <v>124</v>
      </c>
    </row>
    <row r="32" spans="1:40" s="311" customFormat="1" ht="28.5">
      <c r="A32" s="387">
        <v>44063</v>
      </c>
      <c r="B32" s="388" t="s">
        <v>125</v>
      </c>
      <c r="C32" s="325" t="s">
        <v>89</v>
      </c>
      <c r="D32" s="306" t="s">
        <v>85</v>
      </c>
      <c r="E32" s="305" t="s">
        <v>75</v>
      </c>
      <c r="F32" s="305" t="s">
        <v>75</v>
      </c>
      <c r="G32" s="305" t="s">
        <v>75</v>
      </c>
      <c r="H32" s="305" t="s">
        <v>75</v>
      </c>
      <c r="I32" s="305" t="s">
        <v>75</v>
      </c>
      <c r="J32" s="305" t="s">
        <v>75</v>
      </c>
      <c r="K32" s="329"/>
      <c r="L32" s="329"/>
      <c r="M32" s="329"/>
      <c r="N32" s="329"/>
      <c r="O32" s="329"/>
      <c r="P32" s="329"/>
      <c r="Q32" s="305" t="s">
        <v>75</v>
      </c>
      <c r="R32" s="305" t="s">
        <v>75</v>
      </c>
      <c r="S32" s="329"/>
      <c r="T32" s="329"/>
      <c r="U32" s="336"/>
      <c r="V32" s="336"/>
      <c r="W32" s="336"/>
      <c r="X32" s="336"/>
      <c r="Y32" s="336"/>
      <c r="Z32" s="336"/>
      <c r="AA32" s="336"/>
      <c r="AB32" s="336"/>
      <c r="AC32" s="336">
        <v>375.93599999999998</v>
      </c>
      <c r="AD32" s="390" t="s">
        <v>3074</v>
      </c>
      <c r="AE32" s="336"/>
      <c r="AF32" s="336">
        <v>0</v>
      </c>
      <c r="AG32" s="336"/>
      <c r="AH32" s="336"/>
      <c r="AI32" s="390" t="s">
        <v>3075</v>
      </c>
      <c r="AJ32" s="390"/>
      <c r="AK32" s="390"/>
      <c r="AL32" s="336"/>
      <c r="AM32" s="391" t="s">
        <v>3076</v>
      </c>
      <c r="AN32" s="329" t="s">
        <v>126</v>
      </c>
    </row>
    <row r="33" spans="1:40" s="311" customFormat="1">
      <c r="A33" s="387">
        <v>44063</v>
      </c>
      <c r="B33" s="389" t="s">
        <v>125</v>
      </c>
      <c r="C33" s="325" t="s">
        <v>89</v>
      </c>
      <c r="D33" s="306" t="s">
        <v>101</v>
      </c>
      <c r="E33" s="305" t="s">
        <v>75</v>
      </c>
      <c r="F33" s="305" t="s">
        <v>75</v>
      </c>
      <c r="G33" s="305" t="s">
        <v>75</v>
      </c>
      <c r="H33" s="305" t="s">
        <v>75</v>
      </c>
      <c r="I33" s="305" t="s">
        <v>75</v>
      </c>
      <c r="J33" s="305" t="s">
        <v>75</v>
      </c>
      <c r="K33" s="305" t="s">
        <v>75</v>
      </c>
      <c r="L33" s="329"/>
      <c r="M33" s="329"/>
      <c r="N33" s="329"/>
      <c r="O33" s="329"/>
      <c r="P33" s="329"/>
      <c r="Q33" s="329"/>
      <c r="R33" s="305" t="s">
        <v>75</v>
      </c>
      <c r="S33" s="329"/>
      <c r="T33" s="329"/>
      <c r="U33" s="336">
        <v>4700</v>
      </c>
      <c r="V33" s="336"/>
      <c r="W33" s="336"/>
      <c r="X33" s="336"/>
      <c r="Y33" s="336"/>
      <c r="Z33" s="336"/>
      <c r="AA33" s="336"/>
      <c r="AB33" s="336"/>
      <c r="AC33" s="336">
        <v>4700</v>
      </c>
      <c r="AD33" s="336">
        <v>0.47</v>
      </c>
      <c r="AE33" s="336"/>
      <c r="AF33" s="336">
        <v>0.03</v>
      </c>
      <c r="AG33" s="336"/>
      <c r="AH33" s="336"/>
      <c r="AI33" s="336"/>
      <c r="AJ33" s="336"/>
      <c r="AK33" s="336"/>
      <c r="AL33" s="336">
        <v>0.44</v>
      </c>
      <c r="AM33" s="324" t="s">
        <v>86</v>
      </c>
      <c r="AN33" s="329" t="s">
        <v>126</v>
      </c>
    </row>
    <row r="34" spans="1:40" s="308" customFormat="1" ht="28.5">
      <c r="A34" s="369">
        <v>44065</v>
      </c>
      <c r="B34" s="370" t="s">
        <v>127</v>
      </c>
      <c r="C34" s="305" t="s">
        <v>89</v>
      </c>
      <c r="D34" s="307" t="s">
        <v>85</v>
      </c>
      <c r="E34" s="305" t="s">
        <v>75</v>
      </c>
      <c r="F34" s="305" t="s">
        <v>75</v>
      </c>
      <c r="G34" s="313"/>
      <c r="H34" s="313"/>
      <c r="I34" s="305" t="s">
        <v>75</v>
      </c>
      <c r="J34" s="313" t="s">
        <v>123</v>
      </c>
      <c r="K34" s="313"/>
      <c r="L34" s="313"/>
      <c r="M34" s="313"/>
      <c r="N34" s="313"/>
      <c r="O34" s="313"/>
      <c r="P34" s="313"/>
      <c r="Q34" s="305" t="s">
        <v>75</v>
      </c>
      <c r="R34" s="305" t="s">
        <v>75</v>
      </c>
      <c r="S34" s="313"/>
      <c r="T34" s="313"/>
      <c r="U34" s="312"/>
      <c r="V34" s="312"/>
      <c r="W34" s="312"/>
      <c r="X34" s="312"/>
      <c r="Y34" s="312"/>
      <c r="Z34" s="312"/>
      <c r="AA34" s="312"/>
      <c r="AB34" s="312"/>
      <c r="AC34" s="312">
        <v>322.0446</v>
      </c>
      <c r="AD34" s="312">
        <f>AE34*7.0795</f>
        <v>2396.41075</v>
      </c>
      <c r="AE34" s="312">
        <v>338.5</v>
      </c>
      <c r="AF34" s="312">
        <f>AD34</f>
        <v>2396.41075</v>
      </c>
      <c r="AG34" s="312"/>
      <c r="AH34" s="312"/>
      <c r="AI34" s="312"/>
      <c r="AJ34" s="312"/>
      <c r="AK34" s="312"/>
      <c r="AL34" s="312"/>
      <c r="AM34" s="433" t="s">
        <v>3103</v>
      </c>
      <c r="AN34" s="313" t="s">
        <v>128</v>
      </c>
    </row>
    <row r="35" spans="1:40">
      <c r="AL35" s="443"/>
    </row>
    <row r="43" spans="1:40">
      <c r="AM43" s="317">
        <f>SUBTOTAL(9,'[1]4.承接国际服务外包业务（服务外包企业）'!$C$31)</f>
        <v>0</v>
      </c>
    </row>
  </sheetData>
  <autoFilter ref="A6:AQ34"/>
  <mergeCells count="38">
    <mergeCell ref="AN4:AN6"/>
    <mergeCell ref="R5:R6"/>
    <mergeCell ref="V5:V6"/>
    <mergeCell ref="T5:T6"/>
    <mergeCell ref="AL4:AL6"/>
    <mergeCell ref="AM4:AM6"/>
    <mergeCell ref="K5:Q5"/>
    <mergeCell ref="B1:AN3"/>
    <mergeCell ref="AA5:AA6"/>
    <mergeCell ref="AB5:AB6"/>
    <mergeCell ref="AG4:AG6"/>
    <mergeCell ref="AH4:AH6"/>
    <mergeCell ref="AI4:AI6"/>
    <mergeCell ref="Z5:Z6"/>
    <mergeCell ref="AC5:AC6"/>
    <mergeCell ref="AD4:AD6"/>
    <mergeCell ref="AE4:AE6"/>
    <mergeCell ref="AF4:AF6"/>
    <mergeCell ref="U5:U6"/>
    <mergeCell ref="H5:H6"/>
    <mergeCell ref="I5:I6"/>
    <mergeCell ref="J5:J6"/>
    <mergeCell ref="G5:G6"/>
    <mergeCell ref="S5:S6"/>
    <mergeCell ref="A4:A6"/>
    <mergeCell ref="AJ4:AJ6"/>
    <mergeCell ref="AK4:AK6"/>
    <mergeCell ref="B4:B6"/>
    <mergeCell ref="C4:C6"/>
    <mergeCell ref="D5:D6"/>
    <mergeCell ref="E5:E6"/>
    <mergeCell ref="F5:F6"/>
    <mergeCell ref="W5:W6"/>
    <mergeCell ref="X5:X6"/>
    <mergeCell ref="Y5:Y6"/>
    <mergeCell ref="E4:Q4"/>
    <mergeCell ref="R4:T4"/>
    <mergeCell ref="U4:AC4"/>
  </mergeCells>
  <phoneticPr fontId="92" type="noConversion"/>
  <hyperlinks>
    <hyperlink ref="B1:G2" location="目录!A1" display="承接国际服务外包业务（服务外包企业）"/>
  </hyperlinks>
  <pageMargins left="0.75" right="0.75" top="1" bottom="1" header="0.5" footer="0.5"/>
  <pageSetup paperSize="9" orientation="portrait"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dimension ref="A1:Z17"/>
  <sheetViews>
    <sheetView zoomScale="70" zoomScaleNormal="70" workbookViewId="0">
      <pane xSplit="3" ySplit="4" topLeftCell="D5" activePane="bottomRight" state="frozen"/>
      <selection activeCell="E19" sqref="E19"/>
      <selection pane="topRight" activeCell="E19" sqref="E19"/>
      <selection pane="bottomLeft" activeCell="E19" sqref="E19"/>
      <selection pane="bottomRight" activeCell="E19" sqref="E19"/>
    </sheetView>
  </sheetViews>
  <sheetFormatPr defaultColWidth="8.875" defaultRowHeight="13.5"/>
  <cols>
    <col min="1" max="1" width="10.25" style="471" bestFit="1" customWidth="1"/>
    <col min="2" max="2" width="17" style="495" hidden="1" customWidth="1"/>
    <col min="3" max="3" width="39" style="500" customWidth="1"/>
    <col min="4" max="4" width="7" style="500" customWidth="1"/>
    <col min="5" max="17" width="8.875" style="456" customWidth="1"/>
    <col min="18" max="18" width="16.5" style="456" customWidth="1"/>
    <col min="19" max="20" width="14.875" style="456" customWidth="1"/>
    <col min="21" max="21" width="8.875" style="456" customWidth="1"/>
    <col min="22" max="23" width="14.625" style="456" customWidth="1"/>
    <col min="24" max="24" width="15.5" style="456" customWidth="1"/>
    <col min="25" max="25" width="32.375" style="456" customWidth="1"/>
    <col min="26" max="26" width="28.875" style="456" customWidth="1"/>
    <col min="27" max="16384" width="8.875" style="456"/>
  </cols>
  <sheetData>
    <row r="1" spans="1:26" s="462" customFormat="1">
      <c r="A1" s="469"/>
      <c r="B1" s="834" t="s">
        <v>157</v>
      </c>
      <c r="C1" s="835"/>
      <c r="D1" s="836"/>
      <c r="E1" s="835"/>
      <c r="F1" s="835"/>
      <c r="G1" s="835"/>
      <c r="H1" s="835"/>
      <c r="I1" s="835"/>
      <c r="J1" s="835"/>
      <c r="K1" s="835"/>
      <c r="L1" s="835"/>
      <c r="M1" s="835"/>
      <c r="N1" s="835"/>
      <c r="O1" s="835"/>
      <c r="P1" s="835"/>
      <c r="Q1" s="835"/>
      <c r="R1" s="835"/>
      <c r="S1" s="835"/>
      <c r="T1" s="835"/>
      <c r="U1" s="835"/>
      <c r="V1" s="835"/>
      <c r="W1" s="836"/>
      <c r="X1" s="835"/>
      <c r="Y1" s="835"/>
      <c r="Z1" s="835"/>
    </row>
    <row r="2" spans="1:26" s="462" customFormat="1">
      <c r="A2" s="469"/>
      <c r="B2" s="835"/>
      <c r="C2" s="835"/>
      <c r="D2" s="836"/>
      <c r="E2" s="835"/>
      <c r="F2" s="835"/>
      <c r="G2" s="835"/>
      <c r="H2" s="835"/>
      <c r="I2" s="835"/>
      <c r="J2" s="835"/>
      <c r="K2" s="835"/>
      <c r="L2" s="835"/>
      <c r="M2" s="835"/>
      <c r="N2" s="835"/>
      <c r="O2" s="835"/>
      <c r="P2" s="835"/>
      <c r="Q2" s="835"/>
      <c r="R2" s="835"/>
      <c r="S2" s="835"/>
      <c r="T2" s="835"/>
      <c r="U2" s="835"/>
      <c r="V2" s="835"/>
      <c r="W2" s="836"/>
      <c r="X2" s="835"/>
      <c r="Y2" s="835"/>
      <c r="Z2" s="835"/>
    </row>
    <row r="3" spans="1:26" s="462" customFormat="1" ht="32.450000000000003" customHeight="1">
      <c r="A3" s="469"/>
      <c r="B3" s="835" t="s">
        <v>1</v>
      </c>
      <c r="C3" s="840" t="s">
        <v>2</v>
      </c>
      <c r="D3" s="460"/>
      <c r="E3" s="447" t="s">
        <v>3</v>
      </c>
      <c r="F3" s="835" t="s">
        <v>4</v>
      </c>
      <c r="G3" s="835"/>
      <c r="H3" s="835"/>
      <c r="I3" s="835"/>
      <c r="J3" s="835"/>
      <c r="K3" s="835"/>
      <c r="L3" s="835"/>
      <c r="M3" s="835"/>
      <c r="N3" s="835"/>
      <c r="O3" s="835"/>
      <c r="P3" s="835" t="s">
        <v>5</v>
      </c>
      <c r="Q3" s="835"/>
      <c r="R3" s="464" t="s">
        <v>6</v>
      </c>
      <c r="S3" s="839" t="s">
        <v>3112</v>
      </c>
      <c r="T3" s="837" t="s">
        <v>158</v>
      </c>
      <c r="U3" s="837" t="s">
        <v>159</v>
      </c>
      <c r="V3" s="832" t="s">
        <v>9</v>
      </c>
      <c r="W3" s="540" t="s">
        <v>3356</v>
      </c>
      <c r="X3" s="839" t="s">
        <v>3357</v>
      </c>
      <c r="Y3" s="832" t="s">
        <v>12</v>
      </c>
      <c r="Z3" s="832" t="s">
        <v>13</v>
      </c>
    </row>
    <row r="4" spans="1:26" s="462" customFormat="1" ht="37.5" customHeight="1">
      <c r="A4" s="469"/>
      <c r="B4" s="835"/>
      <c r="C4" s="840"/>
      <c r="D4" s="460"/>
      <c r="E4" s="465" t="s">
        <v>160</v>
      </c>
      <c r="F4" s="465" t="s">
        <v>22</v>
      </c>
      <c r="G4" s="465" t="s">
        <v>161</v>
      </c>
      <c r="H4" s="465" t="s">
        <v>25</v>
      </c>
      <c r="I4" s="465" t="s">
        <v>162</v>
      </c>
      <c r="J4" s="465" t="s">
        <v>163</v>
      </c>
      <c r="K4" s="465" t="s">
        <v>164</v>
      </c>
      <c r="L4" s="465" t="s">
        <v>165</v>
      </c>
      <c r="M4" s="465" t="s">
        <v>166</v>
      </c>
      <c r="N4" s="465" t="s">
        <v>167</v>
      </c>
      <c r="O4" s="465" t="s">
        <v>168</v>
      </c>
      <c r="P4" s="465" t="s">
        <v>169</v>
      </c>
      <c r="Q4" s="465" t="s">
        <v>170</v>
      </c>
      <c r="R4" s="466" t="s">
        <v>171</v>
      </c>
      <c r="S4" s="838"/>
      <c r="T4" s="838"/>
      <c r="U4" s="838"/>
      <c r="V4" s="833"/>
      <c r="W4" s="534"/>
      <c r="X4" s="838"/>
      <c r="Y4" s="833"/>
      <c r="Z4" s="833"/>
    </row>
    <row r="5" spans="1:26" s="301" customFormat="1" ht="45.6" customHeight="1">
      <c r="A5" s="469">
        <v>21</v>
      </c>
      <c r="B5" s="475" t="s">
        <v>3136</v>
      </c>
      <c r="C5" s="522" t="s">
        <v>3370</v>
      </c>
      <c r="D5" s="547" t="s">
        <v>129</v>
      </c>
      <c r="E5" s="475" t="s">
        <v>3129</v>
      </c>
      <c r="F5" s="475" t="s">
        <v>3129</v>
      </c>
      <c r="G5" s="475" t="s">
        <v>3129</v>
      </c>
      <c r="H5" s="475" t="s">
        <v>3129</v>
      </c>
      <c r="I5" s="475" t="s">
        <v>3129</v>
      </c>
      <c r="J5" s="475" t="s">
        <v>3129</v>
      </c>
      <c r="K5" s="475" t="s">
        <v>3129</v>
      </c>
      <c r="L5" s="475" t="s">
        <v>3129</v>
      </c>
      <c r="M5" s="475" t="s">
        <v>3129</v>
      </c>
      <c r="N5" s="475" t="s">
        <v>3134</v>
      </c>
      <c r="O5" s="475" t="s">
        <v>3134</v>
      </c>
      <c r="P5" s="475" t="s">
        <v>3129</v>
      </c>
      <c r="Q5" s="475" t="s">
        <v>3129</v>
      </c>
      <c r="R5" s="475">
        <v>2643.7285000000002</v>
      </c>
      <c r="S5" s="475">
        <v>2643</v>
      </c>
      <c r="T5" s="485"/>
      <c r="U5" s="475"/>
      <c r="V5" s="475">
        <v>0</v>
      </c>
      <c r="W5" s="473"/>
      <c r="X5" s="502">
        <v>2643</v>
      </c>
      <c r="Y5" s="475"/>
      <c r="Z5" s="514" t="s">
        <v>3145</v>
      </c>
    </row>
    <row r="6" spans="1:26" s="301" customFormat="1" ht="45.6" customHeight="1">
      <c r="A6" s="470">
        <v>22</v>
      </c>
      <c r="B6" s="463" t="s">
        <v>3205</v>
      </c>
      <c r="C6" s="724" t="s">
        <v>3233</v>
      </c>
      <c r="D6" s="548" t="s">
        <v>3433</v>
      </c>
      <c r="F6" s="446" t="s">
        <v>75</v>
      </c>
      <c r="G6" s="446" t="s">
        <v>75</v>
      </c>
      <c r="H6" s="446" t="s">
        <v>75</v>
      </c>
      <c r="I6" s="446" t="s">
        <v>75</v>
      </c>
      <c r="J6" s="446" t="s">
        <v>75</v>
      </c>
      <c r="K6" s="446" t="s">
        <v>75</v>
      </c>
      <c r="L6" s="446" t="s">
        <v>75</v>
      </c>
      <c r="M6" s="446" t="s">
        <v>75</v>
      </c>
      <c r="O6" s="446" t="s">
        <v>75</v>
      </c>
      <c r="P6" s="446" t="s">
        <v>75</v>
      </c>
      <c r="Q6" s="446" t="s">
        <v>75</v>
      </c>
      <c r="R6" s="461"/>
      <c r="S6" s="483">
        <v>880</v>
      </c>
      <c r="T6" s="483"/>
      <c r="U6" s="483">
        <v>125</v>
      </c>
      <c r="V6" s="458"/>
      <c r="W6" s="535"/>
      <c r="X6" s="503">
        <v>880</v>
      </c>
      <c r="Y6" s="449" t="s">
        <v>3234</v>
      </c>
      <c r="Z6" s="496" t="s">
        <v>3232</v>
      </c>
    </row>
    <row r="7" spans="1:26" s="462" customFormat="1" ht="45.6" customHeight="1">
      <c r="A7" s="470">
        <v>37</v>
      </c>
      <c r="B7" s="463" t="s">
        <v>73</v>
      </c>
      <c r="C7" s="496" t="s">
        <v>3514</v>
      </c>
      <c r="D7" s="548" t="s">
        <v>3434</v>
      </c>
      <c r="E7" s="301"/>
      <c r="F7" s="301" t="s">
        <v>75</v>
      </c>
      <c r="G7" s="301" t="s">
        <v>75</v>
      </c>
      <c r="H7" s="301" t="s">
        <v>75</v>
      </c>
      <c r="I7" s="301" t="s">
        <v>75</v>
      </c>
      <c r="J7" s="301" t="s">
        <v>75</v>
      </c>
      <c r="K7" s="301" t="s">
        <v>75</v>
      </c>
      <c r="L7" s="301" t="s">
        <v>75</v>
      </c>
      <c r="M7" s="301" t="s">
        <v>75</v>
      </c>
      <c r="N7" s="301"/>
      <c r="O7" s="301"/>
      <c r="P7" s="301"/>
      <c r="Q7" s="301"/>
      <c r="R7" s="302">
        <v>5423</v>
      </c>
      <c r="S7" s="302">
        <v>5423</v>
      </c>
      <c r="T7" s="302"/>
      <c r="U7" s="302">
        <f>S7/7.0795</f>
        <v>766.01454905007415</v>
      </c>
      <c r="V7" s="302">
        <f>S7-X7</f>
        <v>453</v>
      </c>
      <c r="W7" s="541">
        <f>710*7</f>
        <v>4970</v>
      </c>
      <c r="X7" s="503">
        <v>4970</v>
      </c>
      <c r="Y7" s="303"/>
      <c r="Z7" s="497" t="s">
        <v>175</v>
      </c>
    </row>
    <row r="8" spans="1:26" s="462" customFormat="1" ht="45.6" customHeight="1">
      <c r="A8" s="469">
        <v>56</v>
      </c>
      <c r="B8" s="475" t="s">
        <v>3136</v>
      </c>
      <c r="C8" s="522" t="s">
        <v>3143</v>
      </c>
      <c r="D8" s="549" t="s">
        <v>129</v>
      </c>
      <c r="E8" s="475" t="s">
        <v>3129</v>
      </c>
      <c r="F8" s="475" t="s">
        <v>3129</v>
      </c>
      <c r="G8" s="475" t="s">
        <v>3129</v>
      </c>
      <c r="H8" s="475" t="s">
        <v>3129</v>
      </c>
      <c r="I8" s="475" t="s">
        <v>3129</v>
      </c>
      <c r="J8" s="475" t="s">
        <v>3129</v>
      </c>
      <c r="K8" s="475" t="s">
        <v>3129</v>
      </c>
      <c r="L8" s="475" t="s">
        <v>3129</v>
      </c>
      <c r="M8" s="475" t="s">
        <v>3129</v>
      </c>
      <c r="N8" s="475" t="s">
        <v>3134</v>
      </c>
      <c r="O8" s="475" t="s">
        <v>3134</v>
      </c>
      <c r="P8" s="475" t="s">
        <v>3129</v>
      </c>
      <c r="Q8" s="475" t="s">
        <v>3129</v>
      </c>
      <c r="S8" s="484">
        <v>10740.25</v>
      </c>
      <c r="T8" s="475"/>
      <c r="U8" s="475"/>
      <c r="V8" s="475">
        <v>0</v>
      </c>
      <c r="W8" s="473"/>
      <c r="X8" s="502">
        <v>10740</v>
      </c>
      <c r="Y8" s="493"/>
      <c r="Z8" s="514" t="s">
        <v>3146</v>
      </c>
    </row>
    <row r="9" spans="1:26" s="462" customFormat="1" ht="45.6" customHeight="1">
      <c r="A9" s="474">
        <v>66</v>
      </c>
      <c r="B9" s="475" t="s">
        <v>3136</v>
      </c>
      <c r="C9" s="522" t="s">
        <v>3349</v>
      </c>
      <c r="D9" s="549" t="s">
        <v>129</v>
      </c>
      <c r="E9" s="475"/>
      <c r="F9" s="475" t="s">
        <v>3129</v>
      </c>
      <c r="G9" s="475" t="s">
        <v>3129</v>
      </c>
      <c r="H9" s="475" t="s">
        <v>3129</v>
      </c>
      <c r="I9" s="475" t="s">
        <v>3129</v>
      </c>
      <c r="J9" s="475" t="s">
        <v>3129</v>
      </c>
      <c r="K9" s="475" t="s">
        <v>3129</v>
      </c>
      <c r="L9" s="475" t="s">
        <v>3129</v>
      </c>
      <c r="M9" s="475" t="s">
        <v>3129</v>
      </c>
      <c r="N9" s="475" t="s">
        <v>3129</v>
      </c>
      <c r="O9" s="475" t="s">
        <v>3129</v>
      </c>
      <c r="P9" s="475"/>
      <c r="Q9" s="475"/>
      <c r="R9" s="475"/>
      <c r="S9" s="475">
        <v>3050</v>
      </c>
      <c r="T9" s="475"/>
      <c r="U9" s="475"/>
      <c r="V9" s="475">
        <v>3</v>
      </c>
      <c r="W9" s="473"/>
      <c r="X9" s="502">
        <f>S9-V9</f>
        <v>3047</v>
      </c>
      <c r="Y9" s="493"/>
      <c r="Z9" s="514" t="s">
        <v>3147</v>
      </c>
    </row>
    <row r="10" spans="1:26" ht="45.6" customHeight="1">
      <c r="A10" s="474">
        <v>71</v>
      </c>
      <c r="B10" s="454" t="s">
        <v>3136</v>
      </c>
      <c r="C10" s="498" t="s">
        <v>3142</v>
      </c>
      <c r="D10" s="549" t="s">
        <v>129</v>
      </c>
      <c r="E10" s="454" t="s">
        <v>3129</v>
      </c>
      <c r="F10" s="454" t="s">
        <v>3129</v>
      </c>
      <c r="G10" s="454" t="s">
        <v>3129</v>
      </c>
      <c r="H10" s="454" t="s">
        <v>3129</v>
      </c>
      <c r="I10" s="454" t="s">
        <v>3129</v>
      </c>
      <c r="J10" s="454" t="s">
        <v>3129</v>
      </c>
      <c r="K10" s="454" t="s">
        <v>3129</v>
      </c>
      <c r="L10" s="454" t="s">
        <v>3129</v>
      </c>
      <c r="M10" s="454" t="s">
        <v>3129</v>
      </c>
      <c r="N10" s="454" t="s">
        <v>3134</v>
      </c>
      <c r="O10" s="454" t="s">
        <v>3134</v>
      </c>
      <c r="P10" s="454" t="s">
        <v>3129</v>
      </c>
      <c r="Q10" s="454"/>
      <c r="R10" s="454"/>
      <c r="S10" s="454">
        <v>370</v>
      </c>
      <c r="T10" s="455"/>
      <c r="U10" s="454"/>
      <c r="V10" s="454">
        <f>S10-X10</f>
        <v>146</v>
      </c>
      <c r="W10" s="536"/>
      <c r="X10" s="504">
        <f>32*7</f>
        <v>224</v>
      </c>
      <c r="Y10" s="509" t="s">
        <v>3297</v>
      </c>
      <c r="Z10" s="498" t="s">
        <v>3144</v>
      </c>
    </row>
    <row r="11" spans="1:26" ht="45.6" customHeight="1">
      <c r="A11" s="472">
        <v>72</v>
      </c>
      <c r="B11" s="494" t="s">
        <v>172</v>
      </c>
      <c r="C11" s="499" t="s">
        <v>173</v>
      </c>
      <c r="D11" s="563" t="s">
        <v>3435</v>
      </c>
      <c r="E11" s="476"/>
      <c r="F11" s="476" t="s">
        <v>75</v>
      </c>
      <c r="G11" s="476" t="s">
        <v>75</v>
      </c>
      <c r="H11" s="476" t="s">
        <v>75</v>
      </c>
      <c r="I11" s="476" t="s">
        <v>75</v>
      </c>
      <c r="J11" s="476" t="s">
        <v>75</v>
      </c>
      <c r="K11" s="476" t="s">
        <v>75</v>
      </c>
      <c r="L11" s="476" t="s">
        <v>75</v>
      </c>
      <c r="M11" s="476" t="s">
        <v>75</v>
      </c>
      <c r="N11" s="476"/>
      <c r="O11" s="476" t="s">
        <v>75</v>
      </c>
      <c r="P11" s="476"/>
      <c r="Q11" s="476"/>
      <c r="R11" s="479">
        <v>7030000</v>
      </c>
      <c r="S11" s="479">
        <v>703</v>
      </c>
      <c r="T11" s="479"/>
      <c r="U11" s="479"/>
      <c r="V11" s="479">
        <v>0</v>
      </c>
      <c r="W11" s="537"/>
      <c r="X11" s="505">
        <f>S11</f>
        <v>703</v>
      </c>
      <c r="Y11" s="510"/>
      <c r="Z11" s="499" t="s">
        <v>174</v>
      </c>
    </row>
    <row r="12" spans="1:26" ht="45.6" customHeight="1">
      <c r="A12" s="472">
        <v>99</v>
      </c>
      <c r="B12" s="501" t="s">
        <v>3302</v>
      </c>
      <c r="C12" s="657" t="s">
        <v>3301</v>
      </c>
      <c r="D12" s="563" t="s">
        <v>3434</v>
      </c>
      <c r="E12" s="476" t="s">
        <v>3203</v>
      </c>
      <c r="F12" s="478" t="s">
        <v>3303</v>
      </c>
      <c r="G12" s="476" t="s">
        <v>3203</v>
      </c>
      <c r="H12" s="476" t="s">
        <v>3203</v>
      </c>
      <c r="I12" s="476" t="s">
        <v>3203</v>
      </c>
      <c r="J12" s="476" t="s">
        <v>3203</v>
      </c>
      <c r="K12" s="476" t="s">
        <v>3203</v>
      </c>
      <c r="L12" s="476" t="s">
        <v>3203</v>
      </c>
      <c r="M12" s="477"/>
      <c r="N12" s="477"/>
      <c r="O12" s="477"/>
      <c r="P12" s="477"/>
      <c r="Q12" s="477"/>
      <c r="R12" s="473"/>
      <c r="S12" s="477">
        <v>119661.744315</v>
      </c>
      <c r="T12" s="477"/>
      <c r="U12" s="454">
        <v>16902.57</v>
      </c>
      <c r="V12" s="477"/>
      <c r="W12" s="538"/>
      <c r="X12" s="504">
        <v>119659.620465</v>
      </c>
      <c r="Y12" s="486" t="s">
        <v>3304</v>
      </c>
      <c r="Z12" s="499" t="s">
        <v>3305</v>
      </c>
    </row>
    <row r="13" spans="1:26" ht="45.6" customHeight="1">
      <c r="A13" s="474">
        <v>108</v>
      </c>
      <c r="B13" s="494" t="s">
        <v>89</v>
      </c>
      <c r="C13" s="721" t="s">
        <v>178</v>
      </c>
      <c r="D13" s="562" t="s">
        <v>3432</v>
      </c>
      <c r="E13" s="477"/>
      <c r="F13" s="476" t="s">
        <v>75</v>
      </c>
      <c r="G13" s="476" t="s">
        <v>75</v>
      </c>
      <c r="H13" s="476" t="s">
        <v>75</v>
      </c>
      <c r="I13" s="476" t="s">
        <v>75</v>
      </c>
      <c r="J13" s="476" t="s">
        <v>75</v>
      </c>
      <c r="K13" s="476" t="s">
        <v>75</v>
      </c>
      <c r="L13" s="476" t="s">
        <v>75</v>
      </c>
      <c r="M13" s="476" t="s">
        <v>75</v>
      </c>
      <c r="N13" s="477"/>
      <c r="O13" s="477"/>
      <c r="P13" s="477"/>
      <c r="Q13" s="477"/>
      <c r="R13" s="482"/>
      <c r="S13" s="482">
        <v>342</v>
      </c>
      <c r="T13" s="482"/>
      <c r="U13" s="482"/>
      <c r="V13" s="482">
        <v>2</v>
      </c>
      <c r="W13" s="539"/>
      <c r="X13" s="506">
        <v>340</v>
      </c>
      <c r="Y13" s="511" t="s">
        <v>3072</v>
      </c>
      <c r="Z13" s="515" t="s">
        <v>179</v>
      </c>
    </row>
    <row r="14" spans="1:26" ht="45.6" customHeight="1">
      <c r="A14" s="474">
        <v>107</v>
      </c>
      <c r="B14" s="452" t="s">
        <v>89</v>
      </c>
      <c r="C14" s="722" t="s">
        <v>176</v>
      </c>
      <c r="D14" s="562" t="s">
        <v>3432</v>
      </c>
      <c r="E14" s="467"/>
      <c r="F14" s="451" t="s">
        <v>75</v>
      </c>
      <c r="G14" s="451" t="s">
        <v>75</v>
      </c>
      <c r="H14" s="451" t="s">
        <v>75</v>
      </c>
      <c r="I14" s="451" t="s">
        <v>75</v>
      </c>
      <c r="J14" s="451" t="s">
        <v>75</v>
      </c>
      <c r="K14" s="451" t="s">
        <v>75</v>
      </c>
      <c r="L14" s="451" t="s">
        <v>75</v>
      </c>
      <c r="M14" s="451" t="s">
        <v>75</v>
      </c>
      <c r="N14" s="467"/>
      <c r="O14" s="467"/>
      <c r="P14" s="467"/>
      <c r="Q14" s="467"/>
      <c r="R14" s="480"/>
      <c r="S14" s="480">
        <v>480</v>
      </c>
      <c r="T14" s="480"/>
      <c r="U14" s="480"/>
      <c r="V14" s="480">
        <f>S14-X14</f>
        <v>130</v>
      </c>
      <c r="W14" s="480"/>
      <c r="X14" s="507">
        <v>350</v>
      </c>
      <c r="Y14" s="512" t="s">
        <v>3111</v>
      </c>
      <c r="Z14" s="459" t="s">
        <v>177</v>
      </c>
    </row>
    <row r="15" spans="1:26" ht="45.6" customHeight="1">
      <c r="A15" s="474">
        <v>106</v>
      </c>
      <c r="B15" s="452" t="s">
        <v>89</v>
      </c>
      <c r="C15" s="723" t="s">
        <v>3265</v>
      </c>
      <c r="D15" s="562" t="s">
        <v>3432</v>
      </c>
      <c r="E15" s="467"/>
      <c r="F15" s="451"/>
      <c r="G15" s="451"/>
      <c r="H15" s="451"/>
      <c r="I15" s="451"/>
      <c r="J15" s="451"/>
      <c r="K15" s="451"/>
      <c r="L15" s="451"/>
      <c r="M15" s="451"/>
      <c r="N15" s="467"/>
      <c r="O15" s="467"/>
      <c r="P15" s="467"/>
      <c r="Q15" s="467"/>
      <c r="R15" s="481"/>
      <c r="S15" s="481">
        <v>350</v>
      </c>
      <c r="T15" s="481"/>
      <c r="U15" s="481"/>
      <c r="V15" s="481"/>
      <c r="W15" s="481"/>
      <c r="X15" s="508">
        <v>350</v>
      </c>
      <c r="Y15" s="513"/>
      <c r="Z15" s="516"/>
    </row>
    <row r="16" spans="1:26">
      <c r="X16" s="468">
        <f>SUM(X5:X15)</f>
        <v>143906.62046499999</v>
      </c>
    </row>
    <row r="17" spans="19:19">
      <c r="S17" s="456">
        <f>SUBTOTAL(9,S5:S16)</f>
        <v>144642.99431500002</v>
      </c>
    </row>
  </sheetData>
  <autoFilter ref="A4:Z16"/>
  <sortState ref="A5:X16">
    <sortCondition ref="A5"/>
  </sortState>
  <mergeCells count="12">
    <mergeCell ref="Y3:Y4"/>
    <mergeCell ref="Z3:Z4"/>
    <mergeCell ref="B1:Z2"/>
    <mergeCell ref="T3:T4"/>
    <mergeCell ref="U3:U4"/>
    <mergeCell ref="V3:V4"/>
    <mergeCell ref="X3:X4"/>
    <mergeCell ref="F3:O3"/>
    <mergeCell ref="P3:Q3"/>
    <mergeCell ref="B3:B4"/>
    <mergeCell ref="C3:C4"/>
    <mergeCell ref="S3:S4"/>
  </mergeCells>
  <phoneticPr fontId="92" type="noConversion"/>
  <conditionalFormatting sqref="C11:D11 C10">
    <cfRule type="duplicateValues" dxfId="0" priority="1"/>
  </conditionalFormatting>
  <pageMargins left="0.75" right="0.75" top="1" bottom="1" header="0.5" footer="0.5"/>
  <pageSetup paperSize="9" orientation="portrait"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B6"/>
  <sheetViews>
    <sheetView topLeftCell="W1" workbookViewId="0">
      <selection activeCell="AL5" sqref="AL5"/>
    </sheetView>
  </sheetViews>
  <sheetFormatPr defaultColWidth="8.875" defaultRowHeight="13.5"/>
  <cols>
    <col min="1" max="1" width="25" style="110" customWidth="1"/>
    <col min="2" max="2" width="15.5" customWidth="1"/>
    <col min="3" max="3" width="14.625" customWidth="1"/>
  </cols>
  <sheetData>
    <row r="1" spans="1:2" ht="40.5">
      <c r="A1" s="203" t="s">
        <v>180</v>
      </c>
      <c r="B1" s="300" t="s">
        <v>181</v>
      </c>
    </row>
    <row r="2" spans="1:2">
      <c r="A2" s="203">
        <v>32421481</v>
      </c>
      <c r="B2" s="267">
        <v>44660.25</v>
      </c>
    </row>
    <row r="3" spans="1:2">
      <c r="A3" s="203">
        <v>32421482</v>
      </c>
      <c r="B3" s="267">
        <v>35698.400000000001</v>
      </c>
    </row>
    <row r="4" spans="1:2">
      <c r="A4" s="203" t="s">
        <v>182</v>
      </c>
      <c r="B4" s="267">
        <f>B2+B3</f>
        <v>80358.649999999994</v>
      </c>
    </row>
    <row r="5" spans="1:2" ht="54">
      <c r="A5" s="203"/>
      <c r="B5" s="300" t="s">
        <v>183</v>
      </c>
    </row>
    <row r="6" spans="1:2">
      <c r="A6" s="203" t="s">
        <v>184</v>
      </c>
      <c r="B6" s="267">
        <v>4025224.65</v>
      </c>
    </row>
  </sheetData>
  <phoneticPr fontId="92" type="noConversion"/>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2:AF40"/>
  <sheetViews>
    <sheetView topLeftCell="F12" workbookViewId="0">
      <selection activeCell="H15" activeCellId="11" sqref="AF34 AB31 Z31 X29 V27 T25 R24 P19 N18 L17 J16 H15"/>
    </sheetView>
  </sheetViews>
  <sheetFormatPr defaultColWidth="9" defaultRowHeight="13.5" outlineLevelRow="1"/>
  <cols>
    <col min="1" max="1" width="8.875" style="269" customWidth="1"/>
    <col min="2" max="3" width="9" style="269"/>
    <col min="4" max="4" width="28.875" style="269" customWidth="1"/>
    <col min="5" max="5" width="12.875" style="269" customWidth="1"/>
    <col min="6" max="6" width="14" style="269"/>
    <col min="7" max="7" width="9" style="269"/>
    <col min="8" max="8" width="11.875" style="269" customWidth="1"/>
    <col min="9" max="9" width="9" style="269"/>
    <col min="10" max="10" width="12.125" style="269" customWidth="1"/>
    <col min="11" max="11" width="9" style="269"/>
    <col min="12" max="12" width="12.625" style="269" customWidth="1"/>
    <col min="13" max="13" width="9" style="269"/>
    <col min="14" max="14" width="11.125" style="269" customWidth="1"/>
    <col min="15" max="15" width="9" style="269"/>
    <col min="16" max="16" width="14.5" style="269" customWidth="1"/>
    <col min="17" max="17" width="9" style="269"/>
    <col min="18" max="18" width="13.5" style="269" customWidth="1"/>
    <col min="19" max="19" width="9" style="269"/>
    <col min="20" max="20" width="12.125" style="269" customWidth="1"/>
    <col min="21" max="21" width="9" style="269"/>
    <col min="22" max="22" width="11.375" style="269" customWidth="1"/>
    <col min="23" max="23" width="9" style="269"/>
    <col min="24" max="24" width="11.125" style="269" customWidth="1"/>
    <col min="25" max="25" width="9" style="269"/>
    <col min="26" max="26" width="11.125" style="269" customWidth="1"/>
    <col min="27" max="27" width="9" style="269"/>
    <col min="28" max="28" width="11.875" style="269" customWidth="1"/>
    <col min="29" max="29" width="9" style="269"/>
    <col min="30" max="30" width="13.125" style="269" customWidth="1"/>
    <col min="31" max="31" width="9" style="269"/>
    <col min="32" max="32" width="9.625" style="269" bestFit="1" customWidth="1"/>
    <col min="33" max="16384" width="9" style="269"/>
  </cols>
  <sheetData>
    <row r="2" spans="1:31">
      <c r="A2" s="841"/>
      <c r="B2" s="841"/>
      <c r="C2" s="841"/>
      <c r="D2" s="842"/>
      <c r="H2" s="271"/>
      <c r="I2" s="271"/>
      <c r="J2" s="271"/>
      <c r="K2" s="271"/>
      <c r="L2" s="271"/>
      <c r="M2" s="271"/>
      <c r="N2" s="271"/>
      <c r="O2" s="271"/>
      <c r="P2" s="271"/>
      <c r="Q2" s="271"/>
      <c r="R2" s="271"/>
      <c r="S2" s="271"/>
      <c r="T2" s="271"/>
      <c r="U2" s="271"/>
      <c r="V2" s="271"/>
      <c r="W2" s="271"/>
      <c r="X2" s="271"/>
      <c r="Y2" s="271"/>
      <c r="Z2" s="271"/>
      <c r="AA2" s="271"/>
      <c r="AB2" s="271"/>
      <c r="AC2" s="271"/>
      <c r="AD2" s="271"/>
      <c r="AE2" s="271"/>
    </row>
    <row r="3" spans="1:31">
      <c r="E3" s="272" t="s">
        <v>185</v>
      </c>
      <c r="F3" s="273" t="s">
        <v>186</v>
      </c>
      <c r="H3" s="274">
        <v>43647</v>
      </c>
      <c r="I3" s="274" t="s">
        <v>187</v>
      </c>
      <c r="J3" s="274">
        <v>43678</v>
      </c>
      <c r="K3" s="274" t="s">
        <v>187</v>
      </c>
      <c r="L3" s="274">
        <v>43709</v>
      </c>
      <c r="M3" s="274" t="s">
        <v>187</v>
      </c>
      <c r="N3" s="274">
        <v>43739</v>
      </c>
      <c r="O3" s="274" t="s">
        <v>187</v>
      </c>
      <c r="P3" s="274">
        <v>43770</v>
      </c>
      <c r="Q3" s="274" t="s">
        <v>187</v>
      </c>
      <c r="R3" s="274">
        <v>43800</v>
      </c>
      <c r="S3" s="274" t="s">
        <v>187</v>
      </c>
      <c r="T3" s="274">
        <v>43831</v>
      </c>
      <c r="U3" s="274" t="s">
        <v>187</v>
      </c>
      <c r="V3" s="274">
        <v>43862</v>
      </c>
      <c r="W3" s="274" t="s">
        <v>187</v>
      </c>
      <c r="X3" s="274">
        <v>43891</v>
      </c>
      <c r="Y3" s="274" t="s">
        <v>187</v>
      </c>
      <c r="Z3" s="274">
        <v>43922</v>
      </c>
      <c r="AA3" s="274" t="s">
        <v>187</v>
      </c>
      <c r="AB3" s="274">
        <v>43952</v>
      </c>
      <c r="AC3" s="274" t="s">
        <v>187</v>
      </c>
      <c r="AD3" s="274">
        <v>43983</v>
      </c>
      <c r="AE3" s="274" t="s">
        <v>187</v>
      </c>
    </row>
    <row r="4" spans="1:31" ht="24">
      <c r="A4" s="275" t="s">
        <v>188</v>
      </c>
      <c r="B4" s="276" t="s">
        <v>189</v>
      </c>
      <c r="C4" s="276" t="s">
        <v>190</v>
      </c>
      <c r="D4" s="277" t="s">
        <v>191</v>
      </c>
      <c r="E4" s="278" t="s">
        <v>192</v>
      </c>
      <c r="F4" s="278" t="s">
        <v>193</v>
      </c>
      <c r="G4" s="279" t="s">
        <v>194</v>
      </c>
      <c r="H4" s="280" t="s">
        <v>195</v>
      </c>
      <c r="I4" s="297" t="s">
        <v>196</v>
      </c>
      <c r="J4" s="280" t="s">
        <v>195</v>
      </c>
      <c r="K4" s="297" t="s">
        <v>196</v>
      </c>
      <c r="L4" s="280" t="s">
        <v>195</v>
      </c>
      <c r="M4" s="297" t="s">
        <v>196</v>
      </c>
      <c r="N4" s="280" t="s">
        <v>195</v>
      </c>
      <c r="O4" s="297" t="s">
        <v>196</v>
      </c>
      <c r="P4" s="280" t="s">
        <v>195</v>
      </c>
      <c r="Q4" s="297" t="s">
        <v>196</v>
      </c>
      <c r="R4" s="280" t="s">
        <v>195</v>
      </c>
      <c r="S4" s="297" t="s">
        <v>196</v>
      </c>
      <c r="T4" s="280" t="s">
        <v>195</v>
      </c>
      <c r="U4" s="297" t="s">
        <v>196</v>
      </c>
      <c r="V4" s="280" t="s">
        <v>195</v>
      </c>
      <c r="W4" s="297" t="s">
        <v>196</v>
      </c>
      <c r="X4" s="280" t="s">
        <v>195</v>
      </c>
      <c r="Y4" s="297" t="s">
        <v>196</v>
      </c>
      <c r="Z4" s="280" t="s">
        <v>195</v>
      </c>
      <c r="AA4" s="297" t="s">
        <v>196</v>
      </c>
      <c r="AB4" s="280" t="s">
        <v>197</v>
      </c>
      <c r="AC4" s="297" t="s">
        <v>196</v>
      </c>
      <c r="AD4" s="280" t="s">
        <v>197</v>
      </c>
      <c r="AE4" s="297" t="s">
        <v>196</v>
      </c>
    </row>
    <row r="5" spans="1:31" s="270" customFormat="1" ht="15.95" customHeight="1" outlineLevel="1">
      <c r="A5" s="281">
        <v>43191</v>
      </c>
      <c r="B5" s="282" t="s">
        <v>198</v>
      </c>
      <c r="C5" s="283" t="s">
        <v>199</v>
      </c>
      <c r="D5" s="284" t="s">
        <v>200</v>
      </c>
      <c r="E5" s="285">
        <v>3133403</v>
      </c>
      <c r="F5" s="286">
        <v>49.8307</v>
      </c>
      <c r="G5" s="287" t="s">
        <v>201</v>
      </c>
      <c r="H5" s="288"/>
      <c r="I5" s="288"/>
      <c r="J5" s="288">
        <v>64280</v>
      </c>
      <c r="K5" s="298" t="s">
        <v>202</v>
      </c>
      <c r="L5" s="288"/>
      <c r="M5" s="288"/>
      <c r="N5" s="288"/>
      <c r="O5" s="288"/>
      <c r="P5" s="288"/>
      <c r="Q5" s="288"/>
      <c r="R5" s="288"/>
      <c r="S5" s="288"/>
      <c r="T5" s="288"/>
      <c r="U5" s="298"/>
      <c r="V5" s="288"/>
      <c r="W5" s="298"/>
      <c r="X5" s="288"/>
      <c r="Y5" s="298"/>
      <c r="Z5" s="288"/>
      <c r="AA5" s="298"/>
      <c r="AB5" s="288"/>
      <c r="AC5" s="298"/>
      <c r="AD5" s="288"/>
      <c r="AE5" s="298"/>
    </row>
    <row r="6" spans="1:31" s="270" customFormat="1" ht="15.95" customHeight="1">
      <c r="A6" s="281">
        <v>43282</v>
      </c>
      <c r="B6" s="282" t="s">
        <v>198</v>
      </c>
      <c r="C6" s="283" t="s">
        <v>203</v>
      </c>
      <c r="D6" s="284" t="s">
        <v>204</v>
      </c>
      <c r="E6" s="285">
        <v>5243755</v>
      </c>
      <c r="F6" s="286">
        <v>79.251499999999993</v>
      </c>
      <c r="G6" s="287" t="s">
        <v>201</v>
      </c>
      <c r="H6" s="288"/>
      <c r="I6" s="288"/>
      <c r="J6" s="288">
        <v>83382</v>
      </c>
      <c r="K6" s="298" t="s">
        <v>202</v>
      </c>
      <c r="L6" s="288"/>
      <c r="M6" s="288"/>
      <c r="N6" s="288"/>
      <c r="O6" s="288"/>
      <c r="P6" s="288"/>
      <c r="Q6" s="288"/>
      <c r="R6" s="288"/>
      <c r="S6" s="288"/>
      <c r="T6" s="288"/>
      <c r="U6" s="298"/>
      <c r="V6" s="288"/>
      <c r="W6" s="298"/>
      <c r="X6" s="288"/>
      <c r="Y6" s="298"/>
      <c r="Z6" s="288"/>
      <c r="AA6" s="298"/>
      <c r="AB6" s="288"/>
      <c r="AC6" s="298"/>
      <c r="AD6" s="288"/>
      <c r="AE6" s="298"/>
    </row>
    <row r="7" spans="1:31" s="270" customFormat="1" ht="15.95" customHeight="1">
      <c r="A7" s="281">
        <v>43344</v>
      </c>
      <c r="B7" s="282" t="s">
        <v>198</v>
      </c>
      <c r="C7" s="283" t="s">
        <v>205</v>
      </c>
      <c r="D7" s="284" t="s">
        <v>206</v>
      </c>
      <c r="E7" s="285">
        <v>3396620</v>
      </c>
      <c r="F7" s="286">
        <v>49.770200000000003</v>
      </c>
      <c r="G7" s="287" t="s">
        <v>201</v>
      </c>
      <c r="H7" s="288">
        <v>35206</v>
      </c>
      <c r="I7" s="298" t="s">
        <v>207</v>
      </c>
      <c r="J7" s="288">
        <v>38559</v>
      </c>
      <c r="K7" s="298" t="s">
        <v>202</v>
      </c>
      <c r="L7" s="288">
        <v>35206</v>
      </c>
      <c r="M7" s="298" t="s">
        <v>208</v>
      </c>
      <c r="N7" s="288">
        <v>17912</v>
      </c>
      <c r="O7" s="298" t="s">
        <v>209</v>
      </c>
      <c r="P7" s="288"/>
      <c r="Q7" s="298"/>
      <c r="R7" s="288"/>
      <c r="S7" s="298"/>
      <c r="T7" s="288"/>
      <c r="U7" s="298"/>
      <c r="V7" s="288"/>
      <c r="W7" s="298"/>
      <c r="X7" s="288"/>
      <c r="Y7" s="298"/>
      <c r="Z7" s="288"/>
      <c r="AA7" s="298"/>
      <c r="AB7" s="288"/>
      <c r="AC7" s="298"/>
      <c r="AD7" s="288"/>
      <c r="AE7" s="298"/>
    </row>
    <row r="8" spans="1:31" s="270" customFormat="1" ht="15.95" customHeight="1" outlineLevel="1">
      <c r="A8" s="281">
        <v>43405</v>
      </c>
      <c r="B8" s="282" t="s">
        <v>198</v>
      </c>
      <c r="C8" s="283" t="s">
        <v>210</v>
      </c>
      <c r="D8" s="284" t="s">
        <v>211</v>
      </c>
      <c r="E8" s="285">
        <v>5388345</v>
      </c>
      <c r="F8" s="286">
        <v>77.367599999999996</v>
      </c>
      <c r="G8" s="287" t="s">
        <v>201</v>
      </c>
      <c r="H8" s="288">
        <v>41029</v>
      </c>
      <c r="I8" s="298" t="s">
        <v>207</v>
      </c>
      <c r="J8" s="288">
        <v>157500</v>
      </c>
      <c r="K8" s="298" t="s">
        <v>202</v>
      </c>
      <c r="L8" s="288"/>
      <c r="M8" s="298"/>
      <c r="N8" s="288"/>
      <c r="O8" s="298"/>
      <c r="P8" s="288"/>
      <c r="Q8" s="298"/>
      <c r="R8" s="288"/>
      <c r="S8" s="298"/>
      <c r="T8" s="288"/>
      <c r="U8" s="298"/>
      <c r="V8" s="288"/>
      <c r="W8" s="298"/>
      <c r="X8" s="288"/>
      <c r="Y8" s="298"/>
      <c r="Z8" s="288"/>
      <c r="AA8" s="298"/>
      <c r="AB8" s="288"/>
      <c r="AC8" s="298"/>
      <c r="AD8" s="288"/>
      <c r="AE8" s="298"/>
    </row>
    <row r="9" spans="1:31" s="270" customFormat="1" ht="15.95" customHeight="1">
      <c r="A9" s="281">
        <v>43466</v>
      </c>
      <c r="B9" s="282" t="s">
        <v>198</v>
      </c>
      <c r="C9" s="282" t="s">
        <v>212</v>
      </c>
      <c r="D9" s="284" t="s">
        <v>213</v>
      </c>
      <c r="E9" s="285">
        <v>1326235</v>
      </c>
      <c r="F9" s="286">
        <v>19.323899999999998</v>
      </c>
      <c r="G9" s="287" t="s">
        <v>201</v>
      </c>
      <c r="H9" s="288">
        <v>51971</v>
      </c>
      <c r="I9" s="298" t="s">
        <v>207</v>
      </c>
      <c r="J9" s="288">
        <v>84440</v>
      </c>
      <c r="K9" s="298" t="s">
        <v>202</v>
      </c>
      <c r="L9" s="288">
        <v>35206</v>
      </c>
      <c r="M9" s="298" t="s">
        <v>208</v>
      </c>
      <c r="N9" s="288">
        <v>36882</v>
      </c>
      <c r="O9" s="298" t="s">
        <v>209</v>
      </c>
      <c r="P9" s="288">
        <v>38559</v>
      </c>
      <c r="Q9" s="298" t="s">
        <v>214</v>
      </c>
      <c r="R9" s="288">
        <v>33529</v>
      </c>
      <c r="S9" s="298" t="s">
        <v>215</v>
      </c>
      <c r="T9" s="288">
        <v>38559</v>
      </c>
      <c r="U9" s="298" t="s">
        <v>216</v>
      </c>
      <c r="V9" s="288">
        <v>16765</v>
      </c>
      <c r="W9" s="298" t="s">
        <v>217</v>
      </c>
      <c r="X9" s="288"/>
      <c r="Y9" s="298"/>
      <c r="Z9" s="288"/>
      <c r="AA9" s="298"/>
      <c r="AB9" s="288"/>
      <c r="AC9" s="298"/>
      <c r="AD9" s="288"/>
      <c r="AE9" s="298"/>
    </row>
    <row r="10" spans="1:31" s="270" customFormat="1" ht="15.95" customHeight="1">
      <c r="A10" s="281">
        <v>43497</v>
      </c>
      <c r="B10" s="282" t="s">
        <v>198</v>
      </c>
      <c r="C10" s="283" t="s">
        <v>218</v>
      </c>
      <c r="D10" s="284" t="s">
        <v>219</v>
      </c>
      <c r="E10" s="285">
        <v>4593089</v>
      </c>
      <c r="F10" s="286">
        <v>68.528000000000006</v>
      </c>
      <c r="G10" s="287" t="s">
        <v>201</v>
      </c>
      <c r="H10" s="288">
        <v>48000</v>
      </c>
      <c r="I10" s="298" t="s">
        <v>207</v>
      </c>
      <c r="J10" s="288">
        <v>33529</v>
      </c>
      <c r="K10" s="298" t="s">
        <v>202</v>
      </c>
      <c r="L10" s="288">
        <v>35206</v>
      </c>
      <c r="M10" s="298" t="s">
        <v>208</v>
      </c>
      <c r="N10" s="288">
        <v>36882</v>
      </c>
      <c r="O10" s="298" t="s">
        <v>209</v>
      </c>
      <c r="P10" s="288">
        <v>38559</v>
      </c>
      <c r="Q10" s="298" t="s">
        <v>214</v>
      </c>
      <c r="R10" s="288">
        <v>33529</v>
      </c>
      <c r="S10" s="298" t="s">
        <v>215</v>
      </c>
      <c r="T10" s="288">
        <v>38559</v>
      </c>
      <c r="U10" s="298" t="s">
        <v>216</v>
      </c>
      <c r="V10" s="288">
        <v>18441</v>
      </c>
      <c r="W10" s="298" t="s">
        <v>217</v>
      </c>
      <c r="X10" s="288"/>
      <c r="Y10" s="298"/>
      <c r="Z10" s="288"/>
      <c r="AA10" s="298"/>
      <c r="AB10" s="288"/>
      <c r="AC10" s="298"/>
      <c r="AD10" s="288"/>
      <c r="AE10" s="298"/>
    </row>
    <row r="11" spans="1:31" s="270" customFormat="1" ht="15.95" customHeight="1">
      <c r="A11" s="281">
        <v>43525</v>
      </c>
      <c r="B11" s="282" t="s">
        <v>198</v>
      </c>
      <c r="C11" s="283" t="s">
        <v>220</v>
      </c>
      <c r="D11" s="284" t="s">
        <v>221</v>
      </c>
      <c r="E11" s="285">
        <v>1765105</v>
      </c>
      <c r="F11" s="286">
        <v>26.383800000000001</v>
      </c>
      <c r="G11" s="287" t="s">
        <v>201</v>
      </c>
      <c r="H11" s="288">
        <v>255707</v>
      </c>
      <c r="I11" s="298" t="s">
        <v>207</v>
      </c>
      <c r="J11" s="288">
        <v>227353</v>
      </c>
      <c r="K11" s="298" t="s">
        <v>202</v>
      </c>
      <c r="L11" s="288">
        <v>240413</v>
      </c>
      <c r="M11" s="298" t="s">
        <v>208</v>
      </c>
      <c r="N11" s="288">
        <v>36882</v>
      </c>
      <c r="O11" s="298" t="s">
        <v>209</v>
      </c>
      <c r="P11" s="288">
        <v>19235</v>
      </c>
      <c r="Q11" s="298" t="s">
        <v>214</v>
      </c>
      <c r="R11" s="288"/>
      <c r="S11" s="298"/>
      <c r="T11" s="288">
        <v>11912</v>
      </c>
      <c r="U11" s="298" t="s">
        <v>216</v>
      </c>
      <c r="V11" s="288"/>
      <c r="W11" s="298"/>
      <c r="X11" s="288"/>
      <c r="Y11" s="298"/>
      <c r="Z11" s="288"/>
      <c r="AA11" s="298"/>
      <c r="AB11" s="288"/>
      <c r="AC11" s="298"/>
      <c r="AD11" s="288"/>
      <c r="AE11" s="298"/>
    </row>
    <row r="12" spans="1:31" s="270" customFormat="1" ht="15.95" customHeight="1">
      <c r="A12" s="281">
        <v>43556</v>
      </c>
      <c r="B12" s="282" t="s">
        <v>198</v>
      </c>
      <c r="C12" s="283" t="s">
        <v>222</v>
      </c>
      <c r="D12" s="284" t="s">
        <v>223</v>
      </c>
      <c r="E12" s="285">
        <v>4753502</v>
      </c>
      <c r="F12" s="286">
        <v>70.594800000000006</v>
      </c>
      <c r="G12" s="287" t="s">
        <v>201</v>
      </c>
      <c r="H12" s="288">
        <v>832076</v>
      </c>
      <c r="I12" s="298" t="s">
        <v>207</v>
      </c>
      <c r="J12" s="288">
        <v>505928</v>
      </c>
      <c r="K12" s="298" t="s">
        <v>202</v>
      </c>
      <c r="L12" s="288">
        <v>173147</v>
      </c>
      <c r="M12" s="298" t="s">
        <v>208</v>
      </c>
      <c r="N12" s="288">
        <v>128867</v>
      </c>
      <c r="O12" s="298" t="s">
        <v>209</v>
      </c>
      <c r="P12" s="288">
        <v>36882</v>
      </c>
      <c r="Q12" s="298" t="s">
        <v>214</v>
      </c>
      <c r="R12" s="288">
        <v>36882</v>
      </c>
      <c r="S12" s="298" t="s">
        <v>215</v>
      </c>
      <c r="T12" s="288">
        <v>48131</v>
      </c>
      <c r="U12" s="298" t="s">
        <v>216</v>
      </c>
      <c r="V12" s="288">
        <v>36882</v>
      </c>
      <c r="W12" s="298" t="s">
        <v>217</v>
      </c>
      <c r="X12" s="288">
        <v>35206</v>
      </c>
      <c r="Y12" s="298" t="s">
        <v>224</v>
      </c>
      <c r="Z12" s="288">
        <v>26823</v>
      </c>
      <c r="AA12" s="298" t="s">
        <v>225</v>
      </c>
      <c r="AB12" s="288"/>
      <c r="AC12" s="298"/>
      <c r="AD12" s="288"/>
      <c r="AE12" s="298"/>
    </row>
    <row r="13" spans="1:31" s="270" customFormat="1" ht="15.95" customHeight="1">
      <c r="A13" s="281">
        <v>43586</v>
      </c>
      <c r="B13" s="282" t="s">
        <v>198</v>
      </c>
      <c r="C13" s="282" t="s">
        <v>226</v>
      </c>
      <c r="D13" s="284" t="s">
        <v>227</v>
      </c>
      <c r="E13" s="285">
        <v>2932016</v>
      </c>
      <c r="F13" s="286">
        <v>43.575400000000002</v>
      </c>
      <c r="G13" s="287" t="s">
        <v>201</v>
      </c>
      <c r="H13" s="288">
        <v>1508122</v>
      </c>
      <c r="I13" s="298" t="s">
        <v>207</v>
      </c>
      <c r="J13" s="288">
        <v>540924</v>
      </c>
      <c r="K13" s="298" t="s">
        <v>202</v>
      </c>
      <c r="L13" s="288">
        <v>94809</v>
      </c>
      <c r="M13" s="298" t="s">
        <v>208</v>
      </c>
      <c r="N13" s="288">
        <v>22323</v>
      </c>
      <c r="O13" s="298" t="s">
        <v>209</v>
      </c>
      <c r="P13" s="288">
        <v>10589</v>
      </c>
      <c r="Q13" s="298" t="s">
        <v>214</v>
      </c>
      <c r="R13" s="288"/>
      <c r="S13" s="298"/>
      <c r="T13" s="288"/>
      <c r="U13" s="298"/>
      <c r="V13" s="288"/>
      <c r="W13" s="298"/>
      <c r="X13" s="288"/>
      <c r="Y13" s="298"/>
      <c r="Z13" s="288"/>
      <c r="AA13" s="298"/>
      <c r="AB13" s="288"/>
      <c r="AC13" s="298"/>
      <c r="AD13" s="288"/>
      <c r="AE13" s="298"/>
    </row>
    <row r="14" spans="1:31" s="270" customFormat="1" ht="15.95" customHeight="1">
      <c r="A14" s="281">
        <v>43617</v>
      </c>
      <c r="B14" s="282" t="s">
        <v>198</v>
      </c>
      <c r="C14" s="282" t="s">
        <v>228</v>
      </c>
      <c r="D14" s="289" t="s">
        <v>229</v>
      </c>
      <c r="E14" s="285">
        <v>5245633</v>
      </c>
      <c r="F14" s="286">
        <v>76.032499999999999</v>
      </c>
      <c r="G14" s="287" t="s">
        <v>201</v>
      </c>
      <c r="H14" s="288">
        <v>1279853</v>
      </c>
      <c r="I14" s="298" t="s">
        <v>207</v>
      </c>
      <c r="J14" s="288">
        <v>2157929</v>
      </c>
      <c r="K14" s="298" t="s">
        <v>202</v>
      </c>
      <c r="L14" s="288">
        <v>553323</v>
      </c>
      <c r="M14" s="298" t="s">
        <v>208</v>
      </c>
      <c r="N14" s="288">
        <v>386250</v>
      </c>
      <c r="O14" s="298" t="s">
        <v>209</v>
      </c>
      <c r="P14" s="288">
        <v>261661</v>
      </c>
      <c r="Q14" s="298" t="s">
        <v>214</v>
      </c>
      <c r="R14" s="288">
        <v>262411</v>
      </c>
      <c r="S14" s="298" t="s">
        <v>215</v>
      </c>
      <c r="T14" s="288">
        <v>165529</v>
      </c>
      <c r="U14" s="298" t="s">
        <v>216</v>
      </c>
      <c r="V14" s="288">
        <v>55588</v>
      </c>
      <c r="W14" s="298" t="s">
        <v>217</v>
      </c>
      <c r="X14" s="288"/>
      <c r="Y14" s="298"/>
      <c r="Z14" s="288"/>
      <c r="AA14" s="298"/>
      <c r="AB14" s="288"/>
      <c r="AC14" s="298"/>
      <c r="AD14" s="288"/>
      <c r="AE14" s="298"/>
    </row>
    <row r="15" spans="1:31" s="270" customFormat="1" ht="15.95" customHeight="1">
      <c r="A15" s="281">
        <v>43647</v>
      </c>
      <c r="B15" s="282" t="s">
        <v>198</v>
      </c>
      <c r="C15" s="282" t="s">
        <v>230</v>
      </c>
      <c r="D15" s="289" t="s">
        <v>231</v>
      </c>
      <c r="E15" s="285">
        <v>2839059</v>
      </c>
      <c r="F15" s="286">
        <v>41.297199999999997</v>
      </c>
      <c r="G15" s="287" t="s">
        <v>201</v>
      </c>
      <c r="H15" s="290">
        <f>H11+H12+H13+H14+H10+H9+H8+H7</f>
        <v>4051964</v>
      </c>
      <c r="I15" s="288"/>
      <c r="J15" s="288">
        <v>197426</v>
      </c>
      <c r="K15" s="298" t="s">
        <v>202</v>
      </c>
      <c r="L15" s="288">
        <v>1987293</v>
      </c>
      <c r="M15" s="298" t="s">
        <v>208</v>
      </c>
      <c r="N15" s="288">
        <v>519560</v>
      </c>
      <c r="O15" s="298" t="s">
        <v>209</v>
      </c>
      <c r="P15" s="288">
        <v>80516</v>
      </c>
      <c r="Q15" s="298" t="s">
        <v>214</v>
      </c>
      <c r="R15" s="288">
        <v>30441</v>
      </c>
      <c r="S15" s="298" t="s">
        <v>215</v>
      </c>
      <c r="T15" s="288">
        <v>1323</v>
      </c>
      <c r="U15" s="298" t="s">
        <v>216</v>
      </c>
      <c r="V15" s="288"/>
      <c r="W15" s="298"/>
      <c r="X15" s="288"/>
      <c r="Y15" s="298"/>
      <c r="Z15" s="288"/>
      <c r="AA15" s="298"/>
      <c r="AB15" s="288"/>
      <c r="AC15" s="298"/>
      <c r="AD15" s="288"/>
      <c r="AE15" s="298"/>
    </row>
    <row r="16" spans="1:31" s="270" customFormat="1" ht="15.95" customHeight="1">
      <c r="A16" s="281">
        <v>43678</v>
      </c>
      <c r="B16" s="282" t="s">
        <v>198</v>
      </c>
      <c r="C16" s="282" t="s">
        <v>232</v>
      </c>
      <c r="D16" s="289" t="s">
        <v>233</v>
      </c>
      <c r="E16" s="285">
        <v>8315456</v>
      </c>
      <c r="F16" s="286">
        <v>120.79219999999999</v>
      </c>
      <c r="G16" s="287" t="s">
        <v>201</v>
      </c>
      <c r="H16" s="288"/>
      <c r="I16" s="288"/>
      <c r="J16" s="290">
        <f>SUM(J5:J15)</f>
        <v>4091250</v>
      </c>
      <c r="K16" s="288"/>
      <c r="L16" s="288">
        <v>310368</v>
      </c>
      <c r="M16" s="298" t="s">
        <v>208</v>
      </c>
      <c r="N16" s="288">
        <v>2832013</v>
      </c>
      <c r="O16" s="298" t="s">
        <v>209</v>
      </c>
      <c r="P16" s="288">
        <v>4120367</v>
      </c>
      <c r="Q16" s="298" t="s">
        <v>214</v>
      </c>
      <c r="R16" s="288">
        <v>637074</v>
      </c>
      <c r="S16" s="298" t="s">
        <v>215</v>
      </c>
      <c r="T16" s="288">
        <v>310470</v>
      </c>
      <c r="U16" s="298" t="s">
        <v>216</v>
      </c>
      <c r="V16" s="288"/>
      <c r="W16" s="298"/>
      <c r="X16" s="288"/>
      <c r="Y16" s="298"/>
      <c r="Z16" s="288"/>
      <c r="AA16" s="298"/>
      <c r="AB16" s="288"/>
      <c r="AC16" s="298"/>
      <c r="AD16" s="288"/>
      <c r="AE16" s="298"/>
    </row>
    <row r="17" spans="1:31" s="270" customFormat="1" ht="15.95" customHeight="1">
      <c r="A17" s="281">
        <v>43709</v>
      </c>
      <c r="B17" s="282" t="s">
        <v>198</v>
      </c>
      <c r="C17" s="282" t="s">
        <v>234</v>
      </c>
      <c r="D17" s="289" t="s">
        <v>235</v>
      </c>
      <c r="E17" s="285">
        <v>3124575</v>
      </c>
      <c r="F17" s="286">
        <v>44.083199999999998</v>
      </c>
      <c r="G17" s="287" t="s">
        <v>201</v>
      </c>
      <c r="H17" s="288"/>
      <c r="I17" s="288"/>
      <c r="J17" s="288"/>
      <c r="K17" s="288"/>
      <c r="L17" s="290">
        <f>SUM(L7:L16)</f>
        <v>3464971</v>
      </c>
      <c r="M17" s="288"/>
      <c r="N17" s="288">
        <v>112500</v>
      </c>
      <c r="O17" s="298" t="s">
        <v>209</v>
      </c>
      <c r="P17" s="288">
        <v>919897</v>
      </c>
      <c r="Q17" s="298" t="s">
        <v>214</v>
      </c>
      <c r="R17" s="288">
        <v>857604</v>
      </c>
      <c r="S17" s="298" t="s">
        <v>215</v>
      </c>
      <c r="T17" s="288">
        <v>358678</v>
      </c>
      <c r="U17" s="298" t="s">
        <v>216</v>
      </c>
      <c r="V17" s="288">
        <v>103896</v>
      </c>
      <c r="W17" s="298" t="s">
        <v>217</v>
      </c>
      <c r="X17" s="288">
        <v>13235</v>
      </c>
      <c r="Y17" s="298" t="s">
        <v>224</v>
      </c>
      <c r="Z17" s="288">
        <v>29118</v>
      </c>
      <c r="AA17" s="298" t="s">
        <v>225</v>
      </c>
      <c r="AB17" s="288"/>
      <c r="AC17" s="298"/>
      <c r="AD17" s="288"/>
      <c r="AE17" s="298"/>
    </row>
    <row r="18" spans="1:31" s="270" customFormat="1" ht="15.95" customHeight="1">
      <c r="A18" s="281">
        <v>43739</v>
      </c>
      <c r="B18" s="282" t="s">
        <v>198</v>
      </c>
      <c r="C18" s="282" t="s">
        <v>236</v>
      </c>
      <c r="D18" s="289" t="s">
        <v>237</v>
      </c>
      <c r="E18" s="285">
        <v>1580428</v>
      </c>
      <c r="F18" s="286">
        <v>22.344799999999999</v>
      </c>
      <c r="G18" s="287" t="s">
        <v>201</v>
      </c>
      <c r="H18" s="288"/>
      <c r="I18" s="288"/>
      <c r="J18" s="288"/>
      <c r="K18" s="288"/>
      <c r="L18" s="288"/>
      <c r="M18" s="288"/>
      <c r="N18" s="299">
        <f>SUM(N7:N17)</f>
        <v>4130071</v>
      </c>
      <c r="O18" s="288"/>
      <c r="P18" s="288">
        <v>414265</v>
      </c>
      <c r="Q18" s="298" t="s">
        <v>214</v>
      </c>
      <c r="R18" s="288">
        <v>543647</v>
      </c>
      <c r="S18" s="298" t="s">
        <v>215</v>
      </c>
      <c r="T18" s="288">
        <v>418544</v>
      </c>
      <c r="U18" s="298" t="s">
        <v>216</v>
      </c>
      <c r="V18" s="288">
        <v>89485</v>
      </c>
      <c r="W18" s="298" t="s">
        <v>217</v>
      </c>
      <c r="X18" s="288">
        <v>38383</v>
      </c>
      <c r="Y18" s="298" t="s">
        <v>224</v>
      </c>
      <c r="Z18" s="288">
        <v>23162</v>
      </c>
      <c r="AA18" s="298" t="s">
        <v>225</v>
      </c>
      <c r="AB18" s="288"/>
      <c r="AC18" s="298"/>
      <c r="AD18" s="288"/>
      <c r="AE18" s="298"/>
    </row>
    <row r="19" spans="1:31" s="270" customFormat="1" ht="15.95" customHeight="1">
      <c r="A19" s="281">
        <v>43770</v>
      </c>
      <c r="B19" s="282" t="s">
        <v>198</v>
      </c>
      <c r="C19" s="282" t="s">
        <v>238</v>
      </c>
      <c r="D19" s="284" t="s">
        <v>239</v>
      </c>
      <c r="E19" s="285">
        <v>5240184</v>
      </c>
      <c r="F19" s="286">
        <v>74.2941</v>
      </c>
      <c r="G19" s="287" t="s">
        <v>201</v>
      </c>
      <c r="H19" s="288"/>
      <c r="I19" s="288"/>
      <c r="J19" s="288"/>
      <c r="K19" s="288"/>
      <c r="L19" s="288"/>
      <c r="M19" s="288"/>
      <c r="N19" s="288"/>
      <c r="O19" s="288"/>
      <c r="P19" s="290">
        <f>SUM(P9:P18)</f>
        <v>5940530</v>
      </c>
      <c r="Q19" s="288"/>
      <c r="R19" s="288">
        <v>518163</v>
      </c>
      <c r="S19" s="298" t="s">
        <v>215</v>
      </c>
      <c r="T19" s="288">
        <v>2976714</v>
      </c>
      <c r="U19" s="298" t="s">
        <v>216</v>
      </c>
      <c r="V19" s="288">
        <v>1366428</v>
      </c>
      <c r="W19" s="298" t="s">
        <v>217</v>
      </c>
      <c r="X19" s="288">
        <v>235807</v>
      </c>
      <c r="Y19" s="298" t="s">
        <v>224</v>
      </c>
      <c r="Z19" s="288">
        <v>123087</v>
      </c>
      <c r="AA19" s="298" t="s">
        <v>225</v>
      </c>
      <c r="AB19" s="288"/>
      <c r="AC19" s="298"/>
      <c r="AD19" s="288"/>
      <c r="AE19" s="298"/>
    </row>
    <row r="20" spans="1:31" s="270" customFormat="1" ht="15.95" customHeight="1">
      <c r="A20" s="281">
        <v>43770</v>
      </c>
      <c r="B20" s="282" t="s">
        <v>198</v>
      </c>
      <c r="C20" s="282" t="s">
        <v>240</v>
      </c>
      <c r="D20" s="289" t="s">
        <v>241</v>
      </c>
      <c r="E20" s="285">
        <v>158089</v>
      </c>
      <c r="F20" s="286">
        <v>2.2412999999999998</v>
      </c>
      <c r="G20" s="287" t="s">
        <v>242</v>
      </c>
      <c r="H20" s="288"/>
      <c r="I20" s="288"/>
      <c r="J20" s="288"/>
      <c r="K20" s="288"/>
      <c r="L20" s="288"/>
      <c r="M20" s="288"/>
      <c r="N20" s="288"/>
      <c r="O20" s="288"/>
      <c r="P20" s="288"/>
      <c r="Q20" s="288"/>
      <c r="R20" s="290">
        <f>SUM(R9:R19)</f>
        <v>2953280</v>
      </c>
      <c r="S20" s="288"/>
      <c r="T20" s="288">
        <v>63765</v>
      </c>
      <c r="U20" s="298" t="s">
        <v>243</v>
      </c>
      <c r="V20" s="288">
        <v>57441</v>
      </c>
      <c r="W20" s="298" t="s">
        <v>244</v>
      </c>
      <c r="X20" s="288">
        <v>33529</v>
      </c>
      <c r="Y20" s="298" t="s">
        <v>245</v>
      </c>
      <c r="Z20" s="288">
        <v>3354</v>
      </c>
      <c r="AA20" s="298" t="s">
        <v>246</v>
      </c>
      <c r="AB20" s="288"/>
      <c r="AC20" s="298"/>
      <c r="AD20" s="288"/>
      <c r="AE20" s="298"/>
    </row>
    <row r="21" spans="1:31" s="270" customFormat="1" ht="15.95" customHeight="1">
      <c r="A21" s="281">
        <v>43770</v>
      </c>
      <c r="B21" s="282" t="s">
        <v>198</v>
      </c>
      <c r="C21" s="282" t="s">
        <v>247</v>
      </c>
      <c r="D21" s="289" t="s">
        <v>248</v>
      </c>
      <c r="E21" s="285">
        <v>1780403</v>
      </c>
      <c r="F21" s="286">
        <v>25.242100000000001</v>
      </c>
      <c r="G21" s="287" t="s">
        <v>249</v>
      </c>
      <c r="H21" s="288"/>
      <c r="I21" s="288"/>
      <c r="J21" s="288"/>
      <c r="K21" s="288"/>
      <c r="L21" s="288"/>
      <c r="M21" s="288"/>
      <c r="N21" s="288"/>
      <c r="O21" s="288"/>
      <c r="P21" s="288"/>
      <c r="Q21" s="288"/>
      <c r="R21" s="288"/>
      <c r="S21" s="288"/>
      <c r="T21" s="288">
        <v>1228897</v>
      </c>
      <c r="U21" s="298" t="s">
        <v>250</v>
      </c>
      <c r="V21" s="288">
        <v>551506</v>
      </c>
      <c r="W21" s="298" t="s">
        <v>251</v>
      </c>
      <c r="X21" s="288"/>
      <c r="Y21" s="298"/>
      <c r="Z21" s="288"/>
      <c r="AA21" s="298"/>
      <c r="AB21" s="288"/>
      <c r="AC21" s="298"/>
      <c r="AD21" s="288"/>
      <c r="AE21" s="298"/>
    </row>
    <row r="22" spans="1:31" s="270" customFormat="1" ht="15.95" customHeight="1">
      <c r="A22" s="281">
        <v>43770</v>
      </c>
      <c r="B22" s="282" t="s">
        <v>198</v>
      </c>
      <c r="C22" s="282" t="s">
        <v>252</v>
      </c>
      <c r="D22" s="289" t="s">
        <v>253</v>
      </c>
      <c r="E22" s="285">
        <v>2256499</v>
      </c>
      <c r="F22" s="286">
        <v>31.992100000000001</v>
      </c>
      <c r="G22" s="287" t="s">
        <v>242</v>
      </c>
      <c r="H22" s="288"/>
      <c r="I22" s="288"/>
      <c r="J22" s="288"/>
      <c r="K22" s="288"/>
      <c r="L22" s="288"/>
      <c r="M22" s="288"/>
      <c r="N22" s="288"/>
      <c r="O22" s="288"/>
      <c r="P22" s="288"/>
      <c r="Q22" s="288"/>
      <c r="R22" s="288">
        <v>828794</v>
      </c>
      <c r="S22" s="298" t="s">
        <v>254</v>
      </c>
      <c r="T22" s="288">
        <v>686294</v>
      </c>
      <c r="U22" s="298" t="s">
        <v>243</v>
      </c>
      <c r="V22" s="288">
        <v>729499</v>
      </c>
      <c r="W22" s="298" t="s">
        <v>244</v>
      </c>
      <c r="X22" s="288"/>
      <c r="Y22" s="298"/>
      <c r="Z22" s="288"/>
      <c r="AA22" s="298"/>
      <c r="AB22" s="288"/>
      <c r="AC22" s="298"/>
      <c r="AD22" s="288"/>
      <c r="AE22" s="298"/>
    </row>
    <row r="23" spans="1:31" s="270" customFormat="1" ht="15.95" customHeight="1">
      <c r="A23" s="281">
        <v>43770</v>
      </c>
      <c r="B23" s="282" t="s">
        <v>198</v>
      </c>
      <c r="C23" s="282" t="s">
        <v>255</v>
      </c>
      <c r="D23" s="291" t="s">
        <v>256</v>
      </c>
      <c r="E23" s="285">
        <v>1894353</v>
      </c>
      <c r="F23" s="286">
        <v>26.857700000000001</v>
      </c>
      <c r="G23" s="287" t="s">
        <v>242</v>
      </c>
      <c r="H23" s="288"/>
      <c r="I23" s="288"/>
      <c r="J23" s="288"/>
      <c r="K23" s="288"/>
      <c r="L23" s="288"/>
      <c r="M23" s="288"/>
      <c r="N23" s="288"/>
      <c r="O23" s="288"/>
      <c r="P23" s="288"/>
      <c r="Q23" s="288"/>
      <c r="R23" s="288">
        <v>1888000</v>
      </c>
      <c r="S23" s="298" t="s">
        <v>254</v>
      </c>
      <c r="T23" s="288"/>
      <c r="U23" s="298"/>
      <c r="V23" s="288"/>
      <c r="W23" s="298"/>
      <c r="X23" s="288"/>
      <c r="Y23" s="298"/>
      <c r="Z23" s="288"/>
      <c r="AA23" s="298"/>
      <c r="AB23" s="288"/>
      <c r="AC23" s="298"/>
      <c r="AD23" s="288"/>
      <c r="AE23" s="298"/>
    </row>
    <row r="24" spans="1:31" s="270" customFormat="1" ht="15.95" customHeight="1">
      <c r="A24" s="281">
        <v>43800</v>
      </c>
      <c r="B24" s="282" t="s">
        <v>198</v>
      </c>
      <c r="C24" s="282" t="s">
        <v>257</v>
      </c>
      <c r="D24" s="289" t="s">
        <v>258</v>
      </c>
      <c r="E24" s="285">
        <v>3167898</v>
      </c>
      <c r="F24" s="286">
        <v>45.063800000000001</v>
      </c>
      <c r="G24" s="287" t="s">
        <v>201</v>
      </c>
      <c r="H24" s="288"/>
      <c r="I24" s="288"/>
      <c r="J24" s="288"/>
      <c r="K24" s="288"/>
      <c r="L24" s="288"/>
      <c r="M24" s="288"/>
      <c r="N24" s="288"/>
      <c r="O24" s="288"/>
      <c r="P24" s="288"/>
      <c r="Q24" s="288"/>
      <c r="R24" s="290">
        <f>R22+R23</f>
        <v>2716794</v>
      </c>
      <c r="S24" s="288"/>
      <c r="T24" s="288">
        <v>979706</v>
      </c>
      <c r="U24" s="298" t="s">
        <v>216</v>
      </c>
      <c r="V24" s="288">
        <v>1161442</v>
      </c>
      <c r="W24" s="298" t="s">
        <v>217</v>
      </c>
      <c r="X24" s="288">
        <v>559001</v>
      </c>
      <c r="Y24" s="298" t="s">
        <v>224</v>
      </c>
      <c r="Z24" s="288">
        <v>369264</v>
      </c>
      <c r="AA24" s="298" t="s">
        <v>225</v>
      </c>
      <c r="AB24" s="288"/>
      <c r="AC24" s="298"/>
      <c r="AD24" s="288"/>
      <c r="AE24" s="298"/>
    </row>
    <row r="25" spans="1:31" s="270" customFormat="1" ht="15.95" customHeight="1">
      <c r="A25" s="281">
        <v>43800</v>
      </c>
      <c r="B25" s="282" t="s">
        <v>198</v>
      </c>
      <c r="C25" s="282" t="s">
        <v>259</v>
      </c>
      <c r="D25" s="289" t="s">
        <v>260</v>
      </c>
      <c r="E25" s="285">
        <v>269339</v>
      </c>
      <c r="F25" s="286">
        <v>3.8313999999999999</v>
      </c>
      <c r="G25" s="287" t="s">
        <v>242</v>
      </c>
      <c r="H25" s="288"/>
      <c r="I25" s="288"/>
      <c r="J25" s="288"/>
      <c r="K25" s="288"/>
      <c r="L25" s="288"/>
      <c r="M25" s="288"/>
      <c r="N25" s="288"/>
      <c r="O25" s="288"/>
      <c r="P25" s="288"/>
      <c r="Q25" s="288"/>
      <c r="R25" s="288"/>
      <c r="S25" s="288"/>
      <c r="T25" s="290">
        <f>SUM(T9:T24)</f>
        <v>7327081</v>
      </c>
      <c r="U25" s="298"/>
      <c r="V25" s="288"/>
      <c r="W25" s="298"/>
      <c r="X25" s="288">
        <v>103897</v>
      </c>
      <c r="Y25" s="298" t="s">
        <v>245</v>
      </c>
      <c r="Z25" s="288">
        <v>165442</v>
      </c>
      <c r="AA25" s="298" t="s">
        <v>246</v>
      </c>
      <c r="AB25" s="288"/>
      <c r="AC25" s="298"/>
      <c r="AD25" s="288"/>
      <c r="AE25" s="298"/>
    </row>
    <row r="26" spans="1:31" s="270" customFormat="1" ht="15.95" customHeight="1">
      <c r="A26" s="281">
        <v>43831</v>
      </c>
      <c r="B26" s="282" t="s">
        <v>198</v>
      </c>
      <c r="C26" s="282" t="s">
        <v>261</v>
      </c>
      <c r="D26" s="289" t="s">
        <v>262</v>
      </c>
      <c r="E26" s="285">
        <v>2588000</v>
      </c>
      <c r="F26" s="286">
        <v>37.0976</v>
      </c>
      <c r="G26" s="287" t="s">
        <v>201</v>
      </c>
      <c r="H26" s="288"/>
      <c r="I26" s="288"/>
      <c r="J26" s="288"/>
      <c r="K26" s="288"/>
      <c r="L26" s="288"/>
      <c r="M26" s="288"/>
      <c r="N26" s="288"/>
      <c r="O26" s="288"/>
      <c r="P26" s="288"/>
      <c r="Q26" s="288"/>
      <c r="R26" s="288"/>
      <c r="S26" s="288"/>
      <c r="T26" s="288"/>
      <c r="U26" s="298"/>
      <c r="V26" s="288">
        <v>314338</v>
      </c>
      <c r="W26" s="298" t="s">
        <v>217</v>
      </c>
      <c r="X26" s="288">
        <v>1511559</v>
      </c>
      <c r="Y26" s="298" t="s">
        <v>224</v>
      </c>
      <c r="Z26" s="288">
        <v>571236</v>
      </c>
      <c r="AA26" s="298" t="s">
        <v>225</v>
      </c>
      <c r="AB26" s="288">
        <v>47118</v>
      </c>
      <c r="AC26" s="298" t="s">
        <v>263</v>
      </c>
      <c r="AD26" s="288">
        <v>50426</v>
      </c>
      <c r="AE26" s="298" t="s">
        <v>264</v>
      </c>
    </row>
    <row r="27" spans="1:31" s="270" customFormat="1" ht="15.95" customHeight="1">
      <c r="A27" s="281">
        <v>43862</v>
      </c>
      <c r="B27" s="282" t="s">
        <v>198</v>
      </c>
      <c r="C27" s="282" t="s">
        <v>265</v>
      </c>
      <c r="D27" s="289" t="s">
        <v>266</v>
      </c>
      <c r="E27" s="285">
        <v>2183353</v>
      </c>
      <c r="F27" s="286">
        <v>31.6998</v>
      </c>
      <c r="G27" s="287" t="s">
        <v>201</v>
      </c>
      <c r="H27" s="288"/>
      <c r="I27" s="288"/>
      <c r="J27" s="288"/>
      <c r="K27" s="288"/>
      <c r="L27" s="288"/>
      <c r="M27" s="288"/>
      <c r="N27" s="288"/>
      <c r="O27" s="288"/>
      <c r="P27" s="288"/>
      <c r="Q27" s="288"/>
      <c r="R27" s="288"/>
      <c r="S27" s="288"/>
      <c r="T27" s="288"/>
      <c r="U27" s="298"/>
      <c r="V27" s="290">
        <f>SUM(V9:V26)</f>
        <v>4501711</v>
      </c>
      <c r="W27" s="298"/>
      <c r="X27" s="288">
        <v>482426</v>
      </c>
      <c r="Y27" s="298" t="s">
        <v>224</v>
      </c>
      <c r="Z27" s="288">
        <v>1606956</v>
      </c>
      <c r="AA27" s="298" t="s">
        <v>225</v>
      </c>
      <c r="AB27" s="288">
        <v>45000</v>
      </c>
      <c r="AC27" s="298" t="s">
        <v>263</v>
      </c>
      <c r="AD27" s="288">
        <v>48971</v>
      </c>
      <c r="AE27" s="298" t="s">
        <v>264</v>
      </c>
    </row>
    <row r="28" spans="1:31" s="270" customFormat="1" ht="15.95" customHeight="1">
      <c r="A28" s="281">
        <v>43862</v>
      </c>
      <c r="B28" s="282" t="s">
        <v>198</v>
      </c>
      <c r="C28" s="282" t="s">
        <v>267</v>
      </c>
      <c r="D28" s="289" t="s">
        <v>268</v>
      </c>
      <c r="E28" s="285">
        <v>2479970</v>
      </c>
      <c r="F28" s="286">
        <v>36.006300000000003</v>
      </c>
      <c r="G28" s="287" t="s">
        <v>242</v>
      </c>
      <c r="H28" s="288"/>
      <c r="I28" s="288"/>
      <c r="J28" s="288"/>
      <c r="K28" s="288"/>
      <c r="L28" s="288"/>
      <c r="M28" s="288"/>
      <c r="N28" s="288"/>
      <c r="O28" s="288"/>
      <c r="P28" s="288"/>
      <c r="Q28" s="288"/>
      <c r="R28" s="288"/>
      <c r="S28" s="288"/>
      <c r="T28" s="288"/>
      <c r="U28" s="298"/>
      <c r="V28" s="288"/>
      <c r="W28" s="298"/>
      <c r="X28" s="288">
        <v>688000</v>
      </c>
      <c r="Y28" s="298" t="s">
        <v>245</v>
      </c>
      <c r="Z28" s="288">
        <v>1512029</v>
      </c>
      <c r="AA28" s="298" t="s">
        <v>246</v>
      </c>
      <c r="AB28" s="288">
        <v>95956</v>
      </c>
      <c r="AC28" s="298" t="s">
        <v>269</v>
      </c>
      <c r="AD28" s="288">
        <v>54926</v>
      </c>
      <c r="AE28" s="298" t="s">
        <v>270</v>
      </c>
    </row>
    <row r="29" spans="1:31" s="270" customFormat="1" ht="15.95" customHeight="1">
      <c r="A29" s="281">
        <v>43891</v>
      </c>
      <c r="B29" s="282" t="s">
        <v>198</v>
      </c>
      <c r="C29" s="282" t="s">
        <v>271</v>
      </c>
      <c r="D29" s="289" t="s">
        <v>272</v>
      </c>
      <c r="E29" s="285">
        <v>5519545</v>
      </c>
      <c r="F29" s="286">
        <v>78.776399999999995</v>
      </c>
      <c r="G29" s="287" t="s">
        <v>201</v>
      </c>
      <c r="H29" s="288"/>
      <c r="I29" s="288"/>
      <c r="J29" s="288"/>
      <c r="K29" s="288"/>
      <c r="L29" s="288"/>
      <c r="M29" s="288"/>
      <c r="N29" s="288"/>
      <c r="O29" s="288"/>
      <c r="P29" s="288"/>
      <c r="Q29" s="288"/>
      <c r="R29" s="288"/>
      <c r="S29" s="288"/>
      <c r="T29" s="288"/>
      <c r="U29" s="298"/>
      <c r="V29" s="288"/>
      <c r="W29" s="298"/>
      <c r="X29" s="290">
        <f>SUM(X12:X28)</f>
        <v>3701043</v>
      </c>
      <c r="Y29" s="298"/>
      <c r="Z29" s="288">
        <v>757323</v>
      </c>
      <c r="AA29" s="298" t="s">
        <v>225</v>
      </c>
      <c r="AB29" s="288">
        <v>1462486</v>
      </c>
      <c r="AC29" s="298" t="s">
        <v>263</v>
      </c>
      <c r="AD29" s="288">
        <v>1640381</v>
      </c>
      <c r="AE29" s="298" t="s">
        <v>264</v>
      </c>
    </row>
    <row r="30" spans="1:31" s="270" customFormat="1" ht="15.95" customHeight="1">
      <c r="A30" s="281">
        <v>43891</v>
      </c>
      <c r="B30" s="282" t="s">
        <v>198</v>
      </c>
      <c r="C30" s="282" t="s">
        <v>273</v>
      </c>
      <c r="D30" s="289" t="s">
        <v>274</v>
      </c>
      <c r="E30" s="285">
        <v>1322206</v>
      </c>
      <c r="F30" s="286">
        <v>18.870899999999999</v>
      </c>
      <c r="G30" s="287" t="s">
        <v>249</v>
      </c>
      <c r="U30" s="298"/>
      <c r="W30" s="298"/>
      <c r="Y30" s="298"/>
      <c r="Z30" s="270">
        <v>1032353</v>
      </c>
      <c r="AA30" s="298" t="s">
        <v>275</v>
      </c>
      <c r="AB30" s="288">
        <v>289853</v>
      </c>
      <c r="AC30" s="298" t="s">
        <v>276</v>
      </c>
      <c r="AE30" s="298"/>
    </row>
    <row r="31" spans="1:31" s="270" customFormat="1" ht="15.95" customHeight="1">
      <c r="A31" s="281">
        <v>43922</v>
      </c>
      <c r="B31" s="282" t="s">
        <v>198</v>
      </c>
      <c r="C31" s="282" t="s">
        <v>277</v>
      </c>
      <c r="D31" s="289" t="s">
        <v>278</v>
      </c>
      <c r="E31" s="285">
        <v>912575</v>
      </c>
      <c r="F31" s="286">
        <v>12.8802</v>
      </c>
      <c r="G31" s="287" t="s">
        <v>201</v>
      </c>
      <c r="H31" s="288"/>
      <c r="I31" s="288"/>
      <c r="J31" s="288"/>
      <c r="K31" s="288"/>
      <c r="L31" s="288"/>
      <c r="M31" s="288"/>
      <c r="N31" s="288"/>
      <c r="O31" s="288"/>
      <c r="P31" s="288"/>
      <c r="Q31" s="288"/>
      <c r="R31" s="288"/>
      <c r="S31" s="288"/>
      <c r="T31" s="288"/>
      <c r="U31" s="298"/>
      <c r="V31" s="288"/>
      <c r="W31" s="298"/>
      <c r="X31" s="288"/>
      <c r="Y31" s="298"/>
      <c r="Z31" s="290">
        <f>SUM(Z12:Z30)</f>
        <v>6220147</v>
      </c>
      <c r="AA31" s="298"/>
      <c r="AB31" s="290">
        <f>SUM(AB26:AB30)</f>
        <v>1940413</v>
      </c>
      <c r="AC31" s="298"/>
      <c r="AD31" s="288">
        <v>615442</v>
      </c>
      <c r="AE31" s="298" t="s">
        <v>264</v>
      </c>
    </row>
    <row r="32" spans="1:31" s="270" customFormat="1" ht="15.95" customHeight="1">
      <c r="A32" s="281">
        <v>43922</v>
      </c>
      <c r="B32" s="282" t="s">
        <v>198</v>
      </c>
      <c r="C32" s="282" t="s">
        <v>279</v>
      </c>
      <c r="D32" s="289" t="s">
        <v>280</v>
      </c>
      <c r="E32" s="285">
        <v>236251</v>
      </c>
      <c r="F32" s="286">
        <v>3.3344999999999998</v>
      </c>
      <c r="G32" s="287" t="s">
        <v>242</v>
      </c>
      <c r="U32" s="298"/>
      <c r="W32" s="298"/>
      <c r="Y32" s="298"/>
      <c r="AA32" s="298"/>
      <c r="AB32" s="288"/>
      <c r="AC32" s="298"/>
      <c r="AD32" s="270">
        <v>90001</v>
      </c>
      <c r="AE32" s="298" t="s">
        <v>270</v>
      </c>
    </row>
    <row r="33" spans="1:32" s="270" customFormat="1" ht="15.95" customHeight="1">
      <c r="A33" s="281">
        <v>43922</v>
      </c>
      <c r="B33" s="282" t="s">
        <v>198</v>
      </c>
      <c r="C33" s="282" t="s">
        <v>281</v>
      </c>
      <c r="D33" s="289" t="s">
        <v>282</v>
      </c>
      <c r="E33" s="285">
        <v>1702059</v>
      </c>
      <c r="F33" s="286">
        <v>24.023099999999999</v>
      </c>
      <c r="G33" s="287" t="s">
        <v>249</v>
      </c>
      <c r="U33" s="298"/>
      <c r="W33" s="298"/>
      <c r="Y33" s="298"/>
      <c r="AA33" s="298"/>
      <c r="AB33" s="288"/>
      <c r="AC33" s="298"/>
      <c r="AD33" s="270">
        <v>630000</v>
      </c>
      <c r="AE33" s="298" t="s">
        <v>283</v>
      </c>
    </row>
    <row r="34" spans="1:32" s="270" customFormat="1" ht="15.95" customHeight="1">
      <c r="A34" s="281">
        <v>43922</v>
      </c>
      <c r="B34" s="282" t="s">
        <v>198</v>
      </c>
      <c r="C34" s="282" t="s">
        <v>284</v>
      </c>
      <c r="D34" s="289" t="s">
        <v>285</v>
      </c>
      <c r="E34" s="285">
        <v>917206</v>
      </c>
      <c r="F34" s="286">
        <v>12.945600000000001</v>
      </c>
      <c r="G34" s="287" t="s">
        <v>249</v>
      </c>
      <c r="U34" s="298"/>
      <c r="W34" s="298"/>
      <c r="Y34" s="298"/>
      <c r="AA34" s="298"/>
      <c r="AC34" s="298"/>
      <c r="AD34" s="270">
        <v>66176</v>
      </c>
      <c r="AE34" s="298" t="s">
        <v>283</v>
      </c>
      <c r="AF34" s="453">
        <f>SUM(AD26:AD34)</f>
        <v>3196323</v>
      </c>
    </row>
    <row r="35" spans="1:32" s="270" customFormat="1" ht="15.95" customHeight="1">
      <c r="A35" s="281"/>
      <c r="B35" s="282"/>
      <c r="C35" s="282"/>
      <c r="D35" s="289" t="s">
        <v>286</v>
      </c>
      <c r="E35" s="285"/>
      <c r="F35" s="286"/>
      <c r="G35" s="287" t="s">
        <v>201</v>
      </c>
      <c r="H35" s="270">
        <v>55618</v>
      </c>
      <c r="I35" s="298" t="s">
        <v>207</v>
      </c>
      <c r="J35" s="270">
        <v>52706</v>
      </c>
      <c r="K35" s="298" t="s">
        <v>202</v>
      </c>
      <c r="L35" s="270">
        <v>53088</v>
      </c>
      <c r="M35" s="298" t="s">
        <v>208</v>
      </c>
      <c r="N35" s="270">
        <v>76911</v>
      </c>
      <c r="O35" s="298" t="s">
        <v>209</v>
      </c>
      <c r="P35" s="270">
        <v>50235</v>
      </c>
      <c r="Q35" s="298" t="s">
        <v>214</v>
      </c>
      <c r="R35" s="270">
        <v>96220</v>
      </c>
      <c r="S35" s="298" t="s">
        <v>215</v>
      </c>
      <c r="T35" s="270">
        <v>75706</v>
      </c>
      <c r="U35" s="298" t="s">
        <v>216</v>
      </c>
      <c r="V35" s="270">
        <v>53135</v>
      </c>
      <c r="W35" s="298" t="s">
        <v>217</v>
      </c>
      <c r="X35" s="270">
        <v>92185</v>
      </c>
      <c r="Y35" s="298" t="s">
        <v>224</v>
      </c>
      <c r="Z35" s="270">
        <v>94833</v>
      </c>
      <c r="AA35" s="298" t="s">
        <v>225</v>
      </c>
      <c r="AB35" s="270">
        <v>88676</v>
      </c>
      <c r="AC35" s="298" t="s">
        <v>263</v>
      </c>
      <c r="AD35" s="270">
        <v>90382</v>
      </c>
      <c r="AE35" s="298" t="s">
        <v>264</v>
      </c>
    </row>
    <row r="36" spans="1:32" s="270" customFormat="1" ht="15.95" customHeight="1">
      <c r="H36" s="292">
        <f>H15+H35</f>
        <v>4107582</v>
      </c>
      <c r="J36" s="292">
        <f>J16+J35</f>
        <v>4143956</v>
      </c>
      <c r="L36" s="292">
        <f>L17+L35</f>
        <v>3518059</v>
      </c>
      <c r="N36" s="292">
        <f>N18+N35</f>
        <v>4206982</v>
      </c>
      <c r="P36" s="292">
        <f>P19+P35</f>
        <v>5990765</v>
      </c>
      <c r="R36" s="292">
        <f>R20+R24+R35</f>
        <v>5766294</v>
      </c>
      <c r="T36" s="292">
        <f>T35+T25</f>
        <v>7402787</v>
      </c>
      <c r="V36" s="292">
        <f>V27+V35</f>
        <v>4554846</v>
      </c>
      <c r="X36" s="292">
        <f>X29+X35</f>
        <v>3793228</v>
      </c>
      <c r="Z36" s="292">
        <f>Z31+Z35</f>
        <v>6314980</v>
      </c>
      <c r="AB36" s="292">
        <f>AB31+AB35</f>
        <v>2029089</v>
      </c>
      <c r="AD36" s="292">
        <f>AF34+AD35</f>
        <v>3286705</v>
      </c>
    </row>
    <row r="38" spans="1:32">
      <c r="E38" s="293" t="s">
        <v>287</v>
      </c>
      <c r="F38" s="294">
        <f>H15+J16+L17+N18+P19+R20+R24+T25+V27+X29+Z31+AB31+AF34</f>
        <v>54235578</v>
      </c>
    </row>
    <row r="39" spans="1:32">
      <c r="E39" s="295"/>
      <c r="F39" s="269" t="s">
        <v>287</v>
      </c>
    </row>
    <row r="40" spans="1:32">
      <c r="E40" s="296"/>
      <c r="F40" s="269" t="s">
        <v>288</v>
      </c>
    </row>
  </sheetData>
  <mergeCells count="1">
    <mergeCell ref="A2:D2"/>
  </mergeCells>
  <phoneticPr fontId="92" type="noConversion"/>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B2"/>
  <sheetViews>
    <sheetView workbookViewId="0">
      <selection activeCell="B43" sqref="B43"/>
    </sheetView>
  </sheetViews>
  <sheetFormatPr defaultColWidth="8.875" defaultRowHeight="13.5"/>
  <cols>
    <col min="1" max="1" width="14" customWidth="1"/>
    <col min="2" max="2" width="17.875" customWidth="1"/>
  </cols>
  <sheetData>
    <row r="1" spans="1:2">
      <c r="A1" s="110" t="s">
        <v>190</v>
      </c>
      <c r="B1" s="110" t="s">
        <v>289</v>
      </c>
    </row>
    <row r="2" spans="1:2" ht="27">
      <c r="A2" s="198" t="s">
        <v>290</v>
      </c>
      <c r="B2" s="110" t="s">
        <v>291</v>
      </c>
    </row>
  </sheetData>
  <phoneticPr fontId="92" type="noConversion"/>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46</vt:i4>
      </vt:variant>
    </vt:vector>
  </HeadingPairs>
  <TitlesOfParts>
    <vt:vector size="46" baseType="lpstr">
      <vt:lpstr>修改后的服务外包表</vt:lpstr>
      <vt:lpstr>1.提升公共服务能力</vt:lpstr>
      <vt:lpstr>2.重点服务进口</vt:lpstr>
      <vt:lpstr>3.承接国际服务外包业务（服务外包培训机构）</vt:lpstr>
      <vt:lpstr>4.承接国际服务外包业务（服务外包企业）</vt:lpstr>
      <vt:lpstr>5.技术出口业务</vt:lpstr>
      <vt:lpstr>烟台中集来福士海洋工程有限公司</vt:lpstr>
      <vt:lpstr>烟台创迹软件有限公司</vt:lpstr>
      <vt:lpstr>阳谷祥光铜业有限公司</vt:lpstr>
      <vt:lpstr>山东泰开电力建设工程有限公司</vt:lpstr>
      <vt:lpstr>山东元星电子有限公司</vt:lpstr>
      <vt:lpstr>山东宝迪朗格健 身器材有限公司</vt:lpstr>
      <vt:lpstr>山东宏瀚国际贸易有限公司</vt:lpstr>
      <vt:lpstr>淄博海创国际贸易有限公司</vt:lpstr>
      <vt:lpstr>山东丽能电力技术股份有限公司</vt:lpstr>
      <vt:lpstr>山东齐芯微系统科技股份有限公司</vt:lpstr>
      <vt:lpstr>山东泰展机电科技股份有限公司</vt:lpstr>
      <vt:lpstr>淄博锦轩轻工制品有限公司</vt:lpstr>
      <vt:lpstr>山东卓创资讯股份有限公司</vt:lpstr>
      <vt:lpstr>瑞阳制药有限公司</vt:lpstr>
      <vt:lpstr>淄博银仕来纺织有限公司</vt:lpstr>
      <vt:lpstr>淄博美林电子有限公司</vt:lpstr>
      <vt:lpstr>山东瑞丰高分子材料股份有限公司</vt:lpstr>
      <vt:lpstr>诺贝尔（山东）科技实业有限公司</vt:lpstr>
      <vt:lpstr>山东威达机械股份有限公司</vt:lpstr>
      <vt:lpstr>山东金池重工股份有限公司</vt:lpstr>
      <vt:lpstr>济南河流道网络科技有限公司</vt:lpstr>
      <vt:lpstr>亿帆环球科技（济南）有限公司 </vt:lpstr>
      <vt:lpstr>济南森峰科技有限公司</vt:lpstr>
      <vt:lpstr>山东省冶金设计院股份有限公司</vt:lpstr>
      <vt:lpstr>山东力诺光伏高科技有限公司</vt:lpstr>
      <vt:lpstr>山东省永信非织造材料有限公司</vt:lpstr>
      <vt:lpstr>东方电子</vt:lpstr>
      <vt:lpstr>济南大宇宙</vt:lpstr>
      <vt:lpstr>浪潮世通</vt:lpstr>
      <vt:lpstr>威海伯特利克迪</vt:lpstr>
      <vt:lpstr>华民钢球</vt:lpstr>
      <vt:lpstr>大世汽车</vt:lpstr>
      <vt:lpstr>日月光</vt:lpstr>
      <vt:lpstr>日月光（初始版文件）</vt:lpstr>
      <vt:lpstr>东方电子培训费</vt:lpstr>
      <vt:lpstr>中车</vt:lpstr>
      <vt:lpstr>鑫弘</vt:lpstr>
      <vt:lpstr>汇总表(电建错误版)</vt:lpstr>
      <vt:lpstr>Sheet1</vt:lpstr>
      <vt:lpstr>汇总</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User</cp:lastModifiedBy>
  <dcterms:created xsi:type="dcterms:W3CDTF">2020-07-27T02:06:00Z</dcterms:created>
  <dcterms:modified xsi:type="dcterms:W3CDTF">2020-09-30T01:04:38Z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2052-11.1.0.9912</vt:lpwstr>
  </property>
</Properties>
</file>